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1"/>
  <workbookPr updateLinks="never" defaultThemeVersion="166925"/>
  <mc:AlternateContent xmlns:mc="http://schemas.openxmlformats.org/markup-compatibility/2006">
    <mc:Choice Requires="x15">
      <x15ac:absPath xmlns:x15ac="http://schemas.microsoft.com/office/spreadsheetml/2010/11/ac" url="/Volumes/brightpowernyc/Shared/Daughterlode/Clients/Fannie Mae/SI_018108_Multifamily Green Financing Business TA 2024/Deliverables/Sample HPB Docs/"/>
    </mc:Choice>
  </mc:AlternateContent>
  <xr:revisionPtr revIDLastSave="0" documentId="8_{7D7913AB-2CAD-9345-B36A-5E73B1A22910}" xr6:coauthVersionLast="47" xr6:coauthVersionMax="47" xr10:uidLastSave="{00000000-0000-0000-0000-000000000000}"/>
  <bookViews>
    <workbookView xWindow="0" yWindow="500" windowWidth="35840" windowHeight="20420" tabRatio="852" xr2:uid="{00000000-000D-0000-FFFF-FFFF00000000}"/>
  </bookViews>
  <sheets>
    <sheet name="Instructions" sheetId="6" r:id="rId1"/>
    <sheet name="Lender Validation" sheetId="5" r:id="rId2"/>
    <sheet name="QC Alerts" sheetId="13" r:id="rId3"/>
    <sheet name="Input-SystemDetails" sheetId="7" r:id="rId4"/>
    <sheet name="Input-RoofMountedSystems" sheetId="17" r:id="rId5"/>
    <sheet name="Input-UpfrontExpenses" sheetId="22" r:id="rId6"/>
    <sheet name="Input-Income" sheetId="23" r:id="rId7"/>
    <sheet name="Input-ProForma" sheetId="11" r:id="rId8"/>
    <sheet name="DB-Loans" sheetId="19" state="hidden" r:id="rId9"/>
    <sheet name="DB-ProjectInformation" sheetId="14" state="hidden" r:id="rId10"/>
    <sheet name="DB-SystemComponents" sheetId="20" state="hidden" r:id="rId11"/>
    <sheet name="DB-Roofs" sheetId="18" state="hidden" r:id="rId12"/>
    <sheet name="DB-ProjectMilestones" sheetId="15" state="hidden" r:id="rId13"/>
    <sheet name="DB-IncomeAndExpenses" sheetId="16" state="hidden" r:id="rId14"/>
    <sheet name="Dropdowns" sheetId="8" state="hidden" r:id="rId15"/>
    <sheet name="chart" sheetId="21" state="hidden" r:id="rId16"/>
  </sheets>
  <externalReferences>
    <externalReference r:id="rId17"/>
    <externalReference r:id="rId18"/>
    <externalReference r:id="rId19"/>
  </externalReferences>
  <definedNames>
    <definedName name="All">'[1]Measure-List'!$C$2:$C$184</definedName>
    <definedName name="Category">OFFSET('[1]Measure-List'!$F$1,1,0,COUNTA('[1]Measure-List'!$F$1:$F$65536)-1,1)</definedName>
    <definedName name="Contains_an_Entry">OFFSET(INDEX('[1]Measure-List'!$B$1:$C$65536,MATCH('[1]Energy Improvements'!$B8,'[1]Measure-List'!$B$1:$B$65536,0),1),0,1,COUNTIF('[1]Measure-List'!$B$1:$B$65536,'[1]Energy Improvements'!$B8),1)</definedName>
    <definedName name="FlushFixture">[2]Instructions!$C$44:$C$46</definedName>
    <definedName name="measure_cats" comment="EWEM categories" localSheetId="6">[3]!measures_table[#Headers]</definedName>
    <definedName name="measure_cats" comment="EWEM categories" localSheetId="4">[3]!measures_table[#Headers]</definedName>
    <definedName name="measure_cats" comment="EWEM categories" localSheetId="3">[3]!measures_table[#Headers]</definedName>
    <definedName name="measure_cats" comment="EWEM categories">[3]!measures_table[#Headers]</definedName>
    <definedName name="measures">INDEX([3]!measures_table[#Data],,MATCH('[3]Input-EWEMs'!$D1,measure_cats,0))</definedName>
    <definedName name="_xlnm.Print_Area" localSheetId="6">'Input-Income'!$A$1:$J$5</definedName>
    <definedName name="_xlnm.Print_Area" localSheetId="4">'Input-RoofMountedSystems'!$A$1:$L$32</definedName>
    <definedName name="_xlnm.Print_Area" localSheetId="3">'Input-SystemDetails'!$A$1:$J$56</definedName>
    <definedName name="_xlnm.Print_Area" localSheetId="1">'Lender Validation'!$A$1:$N$52</definedName>
    <definedName name="_xlnm.Print_Area" localSheetId="2">'QC Alerts'!$A$1:$G$20</definedName>
    <definedName name="Units_Gas">'[1]Measure-List'!$I$2:$I$8</definedName>
    <definedName name="Units_Oil">'[1]Measure-List'!$L$2:$L$7</definedName>
    <definedName name="Units_Propane">'[1]Measure-List'!$J$2:$J$6</definedName>
    <definedName name="Units_Steam">'[1]Measure-List'!$K$2:$K$6</definedName>
    <definedName name="Units_Water">'[1]Measure-List'!$M$2:$M$9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 i="11" l="1"/>
  <c r="F17" i="11"/>
  <c r="F18" i="11"/>
  <c r="D34" i="17"/>
  <c r="L13" i="17" s="1"/>
  <c r="J8" i="23" l="1"/>
  <c r="C35" i="16" l="1"/>
  <c r="B35" i="16"/>
  <c r="F21" i="11"/>
  <c r="E35" i="16" s="1"/>
  <c r="F44" i="23"/>
  <c r="R35" i="16"/>
  <c r="S35" i="16"/>
  <c r="T35" i="16"/>
  <c r="U35" i="16"/>
  <c r="V35" i="16"/>
  <c r="W35" i="16"/>
  <c r="X35" i="16"/>
  <c r="Y35" i="16"/>
  <c r="Z35" i="16"/>
  <c r="AA35" i="16"/>
  <c r="AB35" i="16"/>
  <c r="AC35" i="16"/>
  <c r="Q35" i="16"/>
  <c r="F35" i="16"/>
  <c r="G35" i="16"/>
  <c r="H35" i="16"/>
  <c r="I35" i="16"/>
  <c r="J35" i="16"/>
  <c r="K35" i="16"/>
  <c r="L35" i="16"/>
  <c r="M35" i="16"/>
  <c r="N35" i="16"/>
  <c r="O35" i="16"/>
  <c r="P35" i="16"/>
  <c r="Q34" i="16"/>
  <c r="U34" i="16"/>
  <c r="U36" i="16"/>
  <c r="J52" i="7" l="1"/>
  <c r="J43" i="7"/>
  <c r="J21" i="23" l="1"/>
  <c r="E27" i="16"/>
  <c r="F27" i="16"/>
  <c r="G27" i="16"/>
  <c r="H27" i="16"/>
  <c r="I27" i="16"/>
  <c r="J27" i="16"/>
  <c r="K27" i="16"/>
  <c r="L27" i="16"/>
  <c r="M27" i="16"/>
  <c r="N27" i="16"/>
  <c r="O27" i="16"/>
  <c r="P27" i="16"/>
  <c r="Q27" i="16"/>
  <c r="R27" i="16"/>
  <c r="S27" i="16"/>
  <c r="T27" i="16"/>
  <c r="U27" i="16"/>
  <c r="V27" i="16"/>
  <c r="W27" i="16"/>
  <c r="X27" i="16"/>
  <c r="Y27" i="16"/>
  <c r="Z27" i="16"/>
  <c r="AA27" i="16"/>
  <c r="AB27" i="16"/>
  <c r="AC27" i="16"/>
  <c r="B32" i="16"/>
  <c r="B33" i="16"/>
  <c r="B31" i="16"/>
  <c r="B24" i="16"/>
  <c r="A27" i="16"/>
  <c r="L10" i="17" l="1"/>
  <c r="F23" i="11" l="1"/>
  <c r="F30" i="11" l="1"/>
  <c r="F36" i="22"/>
  <c r="J61" i="7" l="1"/>
  <c r="H55" i="7" l="1"/>
  <c r="H53" i="7"/>
  <c r="H54" i="7"/>
  <c r="H52" i="7"/>
  <c r="A3" i="15" l="1"/>
  <c r="A4" i="15"/>
  <c r="A5" i="15"/>
  <c r="A6" i="15"/>
  <c r="A7" i="15"/>
  <c r="A2" i="15" l="1"/>
  <c r="AH2" i="14"/>
  <c r="AG2" i="14"/>
  <c r="AF2" i="14"/>
  <c r="AE2" i="14"/>
  <c r="AD2" i="14"/>
  <c r="AC2" i="14"/>
  <c r="AB2" i="14"/>
  <c r="AA2" i="14"/>
  <c r="Z2" i="14"/>
  <c r="Y2" i="14"/>
  <c r="X2" i="14"/>
  <c r="J18" i="23"/>
  <c r="J55" i="7"/>
  <c r="B8" i="21" l="1"/>
  <c r="B9" i="21"/>
  <c r="B10" i="21"/>
  <c r="B11" i="21"/>
  <c r="B12" i="21"/>
  <c r="B13" i="21"/>
  <c r="B14" i="21"/>
  <c r="B15" i="21"/>
  <c r="B16" i="21"/>
  <c r="B17" i="21"/>
  <c r="B18" i="21"/>
  <c r="B19" i="21"/>
  <c r="B20" i="21"/>
  <c r="B21" i="21"/>
  <c r="S23" i="11"/>
  <c r="S10" i="11"/>
  <c r="F18" i="13" s="1"/>
  <c r="C20" i="21" s="1"/>
  <c r="R2" i="14"/>
  <c r="C33" i="16"/>
  <c r="B30" i="16"/>
  <c r="B29" i="16"/>
  <c r="B22" i="16"/>
  <c r="B21" i="16"/>
  <c r="B18" i="16"/>
  <c r="B19" i="16"/>
  <c r="B17" i="16"/>
  <c r="B10" i="16"/>
  <c r="B11" i="16"/>
  <c r="B12" i="16"/>
  <c r="B13" i="16"/>
  <c r="B14" i="16"/>
  <c r="B15" i="16"/>
  <c r="I2" i="14"/>
  <c r="C22" i="16"/>
  <c r="C19" i="16"/>
  <c r="C15" i="16"/>
  <c r="F19" i="11" l="1"/>
  <c r="F20" i="11"/>
  <c r="F15" i="11"/>
  <c r="F13" i="11"/>
  <c r="F12" i="11"/>
  <c r="E16" i="22" l="1"/>
  <c r="B9" i="16" s="1"/>
  <c r="J53" i="23"/>
  <c r="O31" i="22"/>
  <c r="F42" i="23"/>
  <c r="J24" i="23"/>
  <c r="D27" i="23"/>
  <c r="F11" i="11" s="1"/>
  <c r="D28" i="23"/>
  <c r="C17" i="22"/>
  <c r="C18" i="22"/>
  <c r="C19" i="22"/>
  <c r="C20" i="22"/>
  <c r="C21" i="22"/>
  <c r="C22" i="22"/>
  <c r="C24" i="22"/>
  <c r="C25" i="22"/>
  <c r="C26" i="22"/>
  <c r="C28" i="22"/>
  <c r="C29" i="22"/>
  <c r="J30" i="7" l="1"/>
  <c r="S2" i="14" l="1"/>
  <c r="B5" i="20" l="1"/>
  <c r="C5" i="20"/>
  <c r="D5" i="20"/>
  <c r="E5" i="20"/>
  <c r="J54" i="7"/>
  <c r="F15" i="13" l="1"/>
  <c r="C15" i="21" s="1"/>
  <c r="J44" i="5"/>
  <c r="U2" i="14"/>
  <c r="K44" i="5"/>
  <c r="V2" i="14"/>
  <c r="G11" i="11" l="1"/>
  <c r="J53" i="7"/>
  <c r="H11" i="11" l="1"/>
  <c r="F20" i="5"/>
  <c r="I11" i="11" l="1"/>
  <c r="C20" i="11"/>
  <c r="C19" i="11"/>
  <c r="C15" i="11"/>
  <c r="F2" i="18"/>
  <c r="F3" i="18"/>
  <c r="F4" i="18"/>
  <c r="F5" i="18"/>
  <c r="F6" i="18"/>
  <c r="F7" i="18"/>
  <c r="F8" i="18"/>
  <c r="F9" i="18"/>
  <c r="F10" i="18"/>
  <c r="F11" i="18"/>
  <c r="F12" i="18"/>
  <c r="F13" i="18"/>
  <c r="F14" i="18"/>
  <c r="F15" i="18"/>
  <c r="F16" i="18"/>
  <c r="F17" i="18"/>
  <c r="F18" i="18"/>
  <c r="F19" i="18"/>
  <c r="F20" i="18"/>
  <c r="F21" i="18"/>
  <c r="J11" i="11" l="1"/>
  <c r="G44" i="5"/>
  <c r="K11" i="11" l="1"/>
  <c r="H2" i="18"/>
  <c r="H3" i="18"/>
  <c r="H4" i="18"/>
  <c r="H5" i="18"/>
  <c r="H6" i="18"/>
  <c r="H7" i="18"/>
  <c r="H8" i="18"/>
  <c r="H9" i="18"/>
  <c r="H10" i="18"/>
  <c r="H11" i="18"/>
  <c r="H12" i="18"/>
  <c r="H13" i="18"/>
  <c r="H14" i="18"/>
  <c r="H15" i="18"/>
  <c r="H16" i="18"/>
  <c r="H17" i="18"/>
  <c r="H18" i="18"/>
  <c r="H19" i="18"/>
  <c r="H20" i="18"/>
  <c r="H21" i="18"/>
  <c r="L11" i="11" l="1"/>
  <c r="B6" i="15"/>
  <c r="B7" i="15"/>
  <c r="B5" i="15"/>
  <c r="B3" i="15"/>
  <c r="B4" i="15"/>
  <c r="B2" i="15"/>
  <c r="D24" i="16"/>
  <c r="D25" i="16"/>
  <c r="D23" i="16"/>
  <c r="D28" i="16"/>
  <c r="E29" i="16"/>
  <c r="E30" i="16"/>
  <c r="E31" i="16"/>
  <c r="E32" i="16"/>
  <c r="E33" i="16"/>
  <c r="E28" i="16"/>
  <c r="C24" i="16"/>
  <c r="C25" i="16"/>
  <c r="C26" i="16"/>
  <c r="E24" i="16"/>
  <c r="E25" i="16"/>
  <c r="E26" i="16"/>
  <c r="A24" i="16"/>
  <c r="A25" i="16"/>
  <c r="A26" i="16"/>
  <c r="C3" i="16"/>
  <c r="C4" i="16"/>
  <c r="C5" i="16"/>
  <c r="C6" i="16"/>
  <c r="C7" i="16"/>
  <c r="C9" i="16"/>
  <c r="C10" i="16"/>
  <c r="C11" i="16"/>
  <c r="C12" i="16"/>
  <c r="C13" i="16"/>
  <c r="C14" i="16"/>
  <c r="C17" i="16"/>
  <c r="C18" i="16"/>
  <c r="C21" i="16"/>
  <c r="C2" i="16"/>
  <c r="E3" i="16"/>
  <c r="E4" i="16"/>
  <c r="E5" i="16"/>
  <c r="E6" i="16"/>
  <c r="E7" i="16"/>
  <c r="E9" i="16"/>
  <c r="E10" i="16"/>
  <c r="E11" i="16"/>
  <c r="E12" i="16"/>
  <c r="E13" i="16"/>
  <c r="E14" i="16"/>
  <c r="E15" i="16"/>
  <c r="E17" i="16"/>
  <c r="E18" i="16"/>
  <c r="E19" i="16"/>
  <c r="E21" i="16"/>
  <c r="E22" i="16"/>
  <c r="E2" i="16"/>
  <c r="A19" i="16"/>
  <c r="A21" i="16"/>
  <c r="A22" i="16"/>
  <c r="A3" i="16"/>
  <c r="A4" i="16"/>
  <c r="A5" i="16"/>
  <c r="A6" i="16"/>
  <c r="A7" i="16"/>
  <c r="A9" i="16"/>
  <c r="A17" i="16"/>
  <c r="A18" i="16"/>
  <c r="A2" i="16"/>
  <c r="H2" i="19"/>
  <c r="F2" i="19"/>
  <c r="G2" i="19"/>
  <c r="B2" i="18"/>
  <c r="C2" i="18"/>
  <c r="D2" i="18"/>
  <c r="E2" i="18"/>
  <c r="G2" i="18"/>
  <c r="B3" i="18"/>
  <c r="C3" i="18"/>
  <c r="D3" i="18"/>
  <c r="E3" i="18"/>
  <c r="G3" i="18"/>
  <c r="B4" i="18"/>
  <c r="C4" i="18"/>
  <c r="D4" i="18"/>
  <c r="E4" i="18"/>
  <c r="G4" i="18"/>
  <c r="B5" i="18"/>
  <c r="C5" i="18"/>
  <c r="D5" i="18"/>
  <c r="E5" i="18"/>
  <c r="G5" i="18"/>
  <c r="B6" i="18"/>
  <c r="C6" i="18"/>
  <c r="D6" i="18"/>
  <c r="E6" i="18"/>
  <c r="G6" i="18"/>
  <c r="B7" i="18"/>
  <c r="C7" i="18"/>
  <c r="D7" i="18"/>
  <c r="E7" i="18"/>
  <c r="G7" i="18"/>
  <c r="B8" i="18"/>
  <c r="C8" i="18"/>
  <c r="D8" i="18"/>
  <c r="E8" i="18"/>
  <c r="G8" i="18"/>
  <c r="B9" i="18"/>
  <c r="C9" i="18"/>
  <c r="D9" i="18"/>
  <c r="E9" i="18"/>
  <c r="G9" i="18"/>
  <c r="B10" i="18"/>
  <c r="C10" i="18"/>
  <c r="D10" i="18"/>
  <c r="E10" i="18"/>
  <c r="G10" i="18"/>
  <c r="B11" i="18"/>
  <c r="C11" i="18"/>
  <c r="D11" i="18"/>
  <c r="E11" i="18"/>
  <c r="G11" i="18"/>
  <c r="B12" i="18"/>
  <c r="C12" i="18"/>
  <c r="D12" i="18"/>
  <c r="E12" i="18"/>
  <c r="G12" i="18"/>
  <c r="B13" i="18"/>
  <c r="C13" i="18"/>
  <c r="D13" i="18"/>
  <c r="E13" i="18"/>
  <c r="G13" i="18"/>
  <c r="B14" i="18"/>
  <c r="C14" i="18"/>
  <c r="D14" i="18"/>
  <c r="E14" i="18"/>
  <c r="G14" i="18"/>
  <c r="B15" i="18"/>
  <c r="C15" i="18"/>
  <c r="D15" i="18"/>
  <c r="E15" i="18"/>
  <c r="G15" i="18"/>
  <c r="B16" i="18"/>
  <c r="C16" i="18"/>
  <c r="D16" i="18"/>
  <c r="E16" i="18"/>
  <c r="G16" i="18"/>
  <c r="B17" i="18"/>
  <c r="C17" i="18"/>
  <c r="D17" i="18"/>
  <c r="E17" i="18"/>
  <c r="G17" i="18"/>
  <c r="B18" i="18"/>
  <c r="C18" i="18"/>
  <c r="D18" i="18"/>
  <c r="E18" i="18"/>
  <c r="G18" i="18"/>
  <c r="B19" i="18"/>
  <c r="C19" i="18"/>
  <c r="D19" i="18"/>
  <c r="E19" i="18"/>
  <c r="G19" i="18"/>
  <c r="B20" i="18"/>
  <c r="C20" i="18"/>
  <c r="D20" i="18"/>
  <c r="E20" i="18"/>
  <c r="G20" i="18"/>
  <c r="B21" i="18"/>
  <c r="C21" i="18"/>
  <c r="D21" i="18"/>
  <c r="E21" i="18"/>
  <c r="G21" i="18"/>
  <c r="A3" i="18"/>
  <c r="A4" i="18"/>
  <c r="A5" i="18"/>
  <c r="A6" i="18"/>
  <c r="A7" i="18"/>
  <c r="A8" i="18"/>
  <c r="A9" i="18"/>
  <c r="A10" i="18"/>
  <c r="A11" i="18"/>
  <c r="A12" i="18"/>
  <c r="A13" i="18"/>
  <c r="A14" i="18"/>
  <c r="A15" i="18"/>
  <c r="A16" i="18"/>
  <c r="A17" i="18"/>
  <c r="A18" i="18"/>
  <c r="A19" i="18"/>
  <c r="A20" i="18"/>
  <c r="A21" i="18"/>
  <c r="A2" i="18"/>
  <c r="C2" i="20"/>
  <c r="D2" i="20"/>
  <c r="E2" i="20"/>
  <c r="F2" i="20"/>
  <c r="C3" i="20"/>
  <c r="D3" i="20"/>
  <c r="E3" i="20"/>
  <c r="F3" i="20"/>
  <c r="C4" i="20"/>
  <c r="D4" i="20"/>
  <c r="E4" i="20"/>
  <c r="F4" i="20"/>
  <c r="F5" i="20"/>
  <c r="B3" i="20"/>
  <c r="B4" i="20"/>
  <c r="B2" i="20"/>
  <c r="P2" i="14"/>
  <c r="Q2" i="14"/>
  <c r="T2" i="14"/>
  <c r="O2" i="14"/>
  <c r="E2" i="19"/>
  <c r="J33" i="23" s="1"/>
  <c r="A2" i="19"/>
  <c r="B2" i="19"/>
  <c r="C2" i="19"/>
  <c r="D2" i="19"/>
  <c r="N2" i="14"/>
  <c r="M2" i="14"/>
  <c r="L2" i="14"/>
  <c r="K2" i="14"/>
  <c r="J2" i="14"/>
  <c r="G2" i="14"/>
  <c r="H2" i="14"/>
  <c r="F2" i="14"/>
  <c r="D2" i="14"/>
  <c r="E2" i="14"/>
  <c r="C2" i="14"/>
  <c r="B2" i="14"/>
  <c r="A2" i="14"/>
  <c r="M11" i="11" l="1"/>
  <c r="E16" i="16"/>
  <c r="E8" i="16"/>
  <c r="E23" i="16"/>
  <c r="E20" i="16"/>
  <c r="E34" i="16"/>
  <c r="F24" i="11"/>
  <c r="N11" i="11" l="1"/>
  <c r="G52" i="5"/>
  <c r="L44" i="5"/>
  <c r="G29" i="5"/>
  <c r="G31" i="5" s="1"/>
  <c r="J31" i="7"/>
  <c r="F7" i="13" s="1"/>
  <c r="F12" i="13"/>
  <c r="C14" i="21" s="1"/>
  <c r="F24" i="5"/>
  <c r="F11" i="13"/>
  <c r="C13" i="21" s="1"/>
  <c r="I52" i="5"/>
  <c r="I44" i="5" s="1"/>
  <c r="A11" i="16"/>
  <c r="A12" i="16"/>
  <c r="A13" i="16"/>
  <c r="A14" i="16"/>
  <c r="A15" i="16"/>
  <c r="A10" i="16"/>
  <c r="F8" i="13"/>
  <c r="C10" i="21" s="1"/>
  <c r="F44" i="5"/>
  <c r="C16" i="22" l="1"/>
  <c r="O8" i="22" s="1"/>
  <c r="F52" i="5"/>
  <c r="O11" i="11"/>
  <c r="W2" i="14"/>
  <c r="M52" i="5"/>
  <c r="C52" i="5"/>
  <c r="P11" i="11" l="1"/>
  <c r="F13" i="13"/>
  <c r="C18" i="21" s="1"/>
  <c r="F14" i="5"/>
  <c r="F10" i="13"/>
  <c r="C12" i="21" s="1"/>
  <c r="F9" i="13"/>
  <c r="C11" i="21" s="1"/>
  <c r="C9" i="21"/>
  <c r="F14" i="13"/>
  <c r="C19" i="21" s="1"/>
  <c r="F16" i="13"/>
  <c r="C16" i="21" s="1"/>
  <c r="F19" i="13"/>
  <c r="C21" i="21" s="1"/>
  <c r="F17" i="13"/>
  <c r="C17" i="21" s="1"/>
  <c r="Q11" i="11" l="1"/>
  <c r="I2" i="19"/>
  <c r="F28" i="16"/>
  <c r="E35" i="11" l="1"/>
  <c r="G28" i="16"/>
  <c r="F35" i="11" l="1"/>
  <c r="H28" i="16"/>
  <c r="F26" i="11"/>
  <c r="F29" i="11"/>
  <c r="F28" i="11"/>
  <c r="F27" i="11"/>
  <c r="F25" i="11"/>
  <c r="F31" i="11" l="1"/>
  <c r="F1" i="21" s="1"/>
  <c r="G35" i="11"/>
  <c r="I28" i="16"/>
  <c r="G27" i="11"/>
  <c r="G28" i="11"/>
  <c r="G26" i="11"/>
  <c r="G31" i="11" l="1"/>
  <c r="F36" i="16" s="1"/>
  <c r="H35" i="11"/>
  <c r="E36" i="16"/>
  <c r="F30" i="16"/>
  <c r="J28" i="16"/>
  <c r="H28" i="11"/>
  <c r="F25" i="16"/>
  <c r="H26" i="11"/>
  <c r="F23" i="16"/>
  <c r="F26" i="16"/>
  <c r="H27" i="11"/>
  <c r="F24" i="16"/>
  <c r="F29" i="5"/>
  <c r="F31" i="5" s="1"/>
  <c r="E45" i="7"/>
  <c r="H31" i="11" l="1"/>
  <c r="I35" i="11"/>
  <c r="K28" i="16"/>
  <c r="G30" i="16"/>
  <c r="G26" i="16"/>
  <c r="I26" i="11"/>
  <c r="G23" i="16"/>
  <c r="I27" i="11"/>
  <c r="G24" i="16"/>
  <c r="I28" i="11"/>
  <c r="G25" i="16"/>
  <c r="I31" i="11" l="1"/>
  <c r="J35" i="11"/>
  <c r="F33" i="16"/>
  <c r="H30" i="16"/>
  <c r="L28" i="16"/>
  <c r="J28" i="11"/>
  <c r="H25" i="16"/>
  <c r="J27" i="11"/>
  <c r="H24" i="16"/>
  <c r="J26" i="11"/>
  <c r="H23" i="16"/>
  <c r="H26" i="16"/>
  <c r="E35" i="7"/>
  <c r="J31" i="11" l="1"/>
  <c r="K35" i="11"/>
  <c r="G33" i="16"/>
  <c r="I30" i="16"/>
  <c r="M28" i="16"/>
  <c r="K28" i="11"/>
  <c r="I25" i="16"/>
  <c r="K27" i="11"/>
  <c r="I24" i="16"/>
  <c r="I26" i="16"/>
  <c r="K26" i="11"/>
  <c r="I23" i="16"/>
  <c r="F22" i="5"/>
  <c r="F31" i="16"/>
  <c r="K31" i="11" l="1"/>
  <c r="L35" i="11"/>
  <c r="H33" i="16"/>
  <c r="N28" i="16"/>
  <c r="J30" i="16"/>
  <c r="L27" i="11"/>
  <c r="J24" i="16"/>
  <c r="L26" i="11"/>
  <c r="J23" i="16"/>
  <c r="J26" i="16"/>
  <c r="L28" i="11"/>
  <c r="J25" i="16"/>
  <c r="L31" i="11" l="1"/>
  <c r="M35" i="11"/>
  <c r="G31" i="16"/>
  <c r="G1" i="21"/>
  <c r="F32" i="16"/>
  <c r="F34" i="16" s="1"/>
  <c r="I33" i="16"/>
  <c r="O28" i="16"/>
  <c r="M28" i="11"/>
  <c r="K25" i="16"/>
  <c r="K26" i="16"/>
  <c r="M26" i="11"/>
  <c r="K23" i="16"/>
  <c r="M27" i="11"/>
  <c r="K24" i="16"/>
  <c r="M31" i="11" l="1"/>
  <c r="N35" i="11"/>
  <c r="J33" i="16"/>
  <c r="H36" i="16"/>
  <c r="G32" i="16"/>
  <c r="G34" i="16" s="1"/>
  <c r="H31" i="16"/>
  <c r="P28" i="16"/>
  <c r="N28" i="11"/>
  <c r="L25" i="16"/>
  <c r="N27" i="11"/>
  <c r="L24" i="16"/>
  <c r="N26" i="11"/>
  <c r="L23" i="16"/>
  <c r="L26" i="16"/>
  <c r="G36" i="16"/>
  <c r="N31" i="11" l="1"/>
  <c r="O35" i="11"/>
  <c r="H1" i="21"/>
  <c r="I1" i="21" s="1"/>
  <c r="I36" i="16"/>
  <c r="H32" i="16"/>
  <c r="H34" i="16" s="1"/>
  <c r="I31" i="16"/>
  <c r="K33" i="16"/>
  <c r="Q28" i="16"/>
  <c r="O28" i="11"/>
  <c r="M25" i="16"/>
  <c r="O26" i="11"/>
  <c r="M23" i="16"/>
  <c r="O27" i="11"/>
  <c r="M24" i="16"/>
  <c r="M26" i="16"/>
  <c r="O31" i="11" l="1"/>
  <c r="P35" i="11"/>
  <c r="J1" i="21"/>
  <c r="L33" i="16"/>
  <c r="J36" i="16"/>
  <c r="I32" i="16"/>
  <c r="I34" i="16" s="1"/>
  <c r="J31" i="16"/>
  <c r="R28" i="16"/>
  <c r="P28" i="11"/>
  <c r="N25" i="16"/>
  <c r="N26" i="16"/>
  <c r="P27" i="11"/>
  <c r="N24" i="16"/>
  <c r="P26" i="11"/>
  <c r="N23" i="16"/>
  <c r="P31" i="11" l="1"/>
  <c r="Q35" i="11"/>
  <c r="K1" i="21"/>
  <c r="K36" i="16"/>
  <c r="J32" i="16"/>
  <c r="J34" i="16" s="1"/>
  <c r="M33" i="16"/>
  <c r="S28" i="16"/>
  <c r="O26" i="16"/>
  <c r="Q28" i="11"/>
  <c r="O25" i="16"/>
  <c r="Q26" i="11"/>
  <c r="O23" i="16"/>
  <c r="Q27" i="11"/>
  <c r="O24" i="16"/>
  <c r="Q31" i="11" l="1"/>
  <c r="L1" i="21"/>
  <c r="N33" i="16"/>
  <c r="K34" i="16"/>
  <c r="T28" i="16"/>
  <c r="E39" i="11"/>
  <c r="P24" i="16"/>
  <c r="E38" i="11"/>
  <c r="P23" i="16"/>
  <c r="E40" i="11"/>
  <c r="P25" i="16"/>
  <c r="P26" i="16"/>
  <c r="E43" i="11" l="1"/>
  <c r="M36" i="16"/>
  <c r="L34" i="16"/>
  <c r="L36" i="16"/>
  <c r="O33" i="16"/>
  <c r="O34" i="16" s="1"/>
  <c r="U28" i="16"/>
  <c r="F38" i="11"/>
  <c r="Q23" i="16"/>
  <c r="F39" i="11"/>
  <c r="Q24" i="16"/>
  <c r="Q26" i="16"/>
  <c r="F40" i="11"/>
  <c r="Q25" i="16"/>
  <c r="F43" i="11" l="1"/>
  <c r="M1" i="21"/>
  <c r="N1" i="21" s="1"/>
  <c r="P33" i="16"/>
  <c r="M34" i="16"/>
  <c r="V28" i="16"/>
  <c r="G40" i="11"/>
  <c r="R25" i="16"/>
  <c r="R26" i="16"/>
  <c r="G39" i="11"/>
  <c r="R24" i="16"/>
  <c r="G38" i="11"/>
  <c r="R23" i="16"/>
  <c r="G43" i="11" l="1"/>
  <c r="O36" i="16"/>
  <c r="N34" i="16"/>
  <c r="N36" i="16"/>
  <c r="W28" i="16"/>
  <c r="H39" i="11"/>
  <c r="S24" i="16"/>
  <c r="H38" i="11"/>
  <c r="S23" i="16"/>
  <c r="S26" i="16"/>
  <c r="H40" i="11"/>
  <c r="S25" i="16"/>
  <c r="H43" i="11" l="1"/>
  <c r="O1" i="21"/>
  <c r="P1" i="21" s="1"/>
  <c r="P36" i="16"/>
  <c r="X28" i="16"/>
  <c r="I40" i="11"/>
  <c r="T25" i="16"/>
  <c r="I38" i="11"/>
  <c r="T23" i="16"/>
  <c r="T26" i="16"/>
  <c r="I39" i="11"/>
  <c r="T24" i="16"/>
  <c r="I43" i="11" l="1"/>
  <c r="Q1" i="21"/>
  <c r="Q36" i="16"/>
  <c r="P34" i="16"/>
  <c r="Y28" i="16"/>
  <c r="J39" i="11"/>
  <c r="U24" i="16"/>
  <c r="U26" i="16"/>
  <c r="J38" i="11"/>
  <c r="U23" i="16"/>
  <c r="J40" i="11"/>
  <c r="U25" i="16"/>
  <c r="J43" i="11" l="1"/>
  <c r="E3" i="21"/>
  <c r="R36" i="16"/>
  <c r="Z28" i="16"/>
  <c r="K38" i="11"/>
  <c r="V23" i="16"/>
  <c r="K40" i="11"/>
  <c r="V25" i="16"/>
  <c r="V26" i="16"/>
  <c r="K39" i="11"/>
  <c r="V24" i="16"/>
  <c r="K43" i="11" l="1"/>
  <c r="F3" i="21"/>
  <c r="S36" i="16"/>
  <c r="R34" i="16"/>
  <c r="AA28" i="16"/>
  <c r="W26" i="16"/>
  <c r="L40" i="11"/>
  <c r="W25" i="16"/>
  <c r="L39" i="11"/>
  <c r="W24" i="16"/>
  <c r="L38" i="11"/>
  <c r="W23" i="16"/>
  <c r="L43" i="11" l="1"/>
  <c r="G3" i="21"/>
  <c r="T36" i="16"/>
  <c r="S34" i="16"/>
  <c r="F33" i="5"/>
  <c r="AB28" i="16"/>
  <c r="M40" i="11"/>
  <c r="X25" i="16"/>
  <c r="M38" i="11"/>
  <c r="X23" i="16"/>
  <c r="M39" i="11"/>
  <c r="X24" i="16"/>
  <c r="X26" i="16"/>
  <c r="M43" i="11" l="1"/>
  <c r="H3" i="21"/>
  <c r="T34" i="16"/>
  <c r="AC28" i="16"/>
  <c r="Y26" i="16"/>
  <c r="N39" i="11"/>
  <c r="Y24" i="16"/>
  <c r="N38" i="11"/>
  <c r="Y23" i="16"/>
  <c r="N40" i="11"/>
  <c r="Y25" i="16"/>
  <c r="N43" i="11" l="1"/>
  <c r="I3" i="21"/>
  <c r="V36" i="16"/>
  <c r="O38" i="11"/>
  <c r="Z23" i="16"/>
  <c r="O39" i="11"/>
  <c r="Z24" i="16"/>
  <c r="O40" i="11"/>
  <c r="Z25" i="16"/>
  <c r="Z26" i="16"/>
  <c r="O43" i="11" l="1"/>
  <c r="J3" i="21"/>
  <c r="V34" i="16"/>
  <c r="AA26" i="16"/>
  <c r="P39" i="11"/>
  <c r="AA24" i="16"/>
  <c r="P40" i="11"/>
  <c r="AA25" i="16"/>
  <c r="P38" i="11"/>
  <c r="AA23" i="16"/>
  <c r="W36" i="16"/>
  <c r="P43" i="11" l="1"/>
  <c r="K3" i="21"/>
  <c r="W34" i="16"/>
  <c r="Q38" i="11"/>
  <c r="AB23" i="16"/>
  <c r="Q39" i="11"/>
  <c r="AC24" i="16" s="1"/>
  <c r="AB24" i="16"/>
  <c r="AC26" i="16"/>
  <c r="AB26" i="16"/>
  <c r="Q40" i="11"/>
  <c r="AC25" i="16" s="1"/>
  <c r="AB25" i="16"/>
  <c r="AC23" i="16" l="1"/>
  <c r="Q43" i="11"/>
  <c r="AC36" i="16" s="1"/>
  <c r="X34" i="16"/>
  <c r="X36" i="16"/>
  <c r="L3" i="21" l="1"/>
  <c r="Y34" i="16"/>
  <c r="Y36" i="16"/>
  <c r="Z36" i="16"/>
  <c r="M3" i="21" l="1"/>
  <c r="N3" i="21" s="1"/>
  <c r="AA36" i="16"/>
  <c r="Z34" i="16"/>
  <c r="O3" i="21" l="1"/>
  <c r="AB36" i="16"/>
  <c r="AA34" i="16"/>
  <c r="P3" i="21" l="1"/>
  <c r="AC34" i="16"/>
  <c r="AB34" i="16"/>
  <c r="Q3"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Alice Suh</author>
    <author>Simpson, Molly</author>
  </authors>
  <commentList>
    <comment ref="D51" authorId="0" shapeId="0" xr:uid="{00000000-0006-0000-0300-000002000000}">
      <text>
        <r>
          <rPr>
            <sz val="9"/>
            <color indexed="81"/>
            <rFont val="Tahoma"/>
            <family val="2"/>
          </rPr>
          <t>Include make and model of equipment if known.</t>
        </r>
      </text>
    </comment>
    <comment ref="F51" authorId="0" shapeId="0" xr:uid="{00000000-0006-0000-0300-000003000000}">
      <text>
        <r>
          <rPr>
            <sz val="9"/>
            <color indexed="81"/>
            <rFont val="Tahoma"/>
            <family val="2"/>
          </rPr>
          <t>Manufacturer's guarantee that equipment is free from defects in materials and workmanship.</t>
        </r>
      </text>
    </comment>
    <comment ref="G51" authorId="1" shapeId="0" xr:uid="{00000000-0006-0000-0300-000004000000}">
      <text>
        <r>
          <rPr>
            <sz val="9"/>
            <color indexed="81"/>
            <rFont val="Tahoma"/>
            <family val="2"/>
          </rPr>
          <t>Power production warranty that equipment will maintain a minimum power output during a given time.</t>
        </r>
      </text>
    </comment>
    <comment ref="D60" authorId="0" shapeId="0" xr:uid="{5A4AE193-785B-4C89-9880-780600B09676}">
      <text>
        <r>
          <rPr>
            <sz val="9"/>
            <color indexed="81"/>
            <rFont val="Tahoma"/>
            <family val="2"/>
          </rPr>
          <t>Start of project should be considered as date of installation contract signing.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Alice Suh</author>
  </authors>
  <commentList>
    <comment ref="C12" authorId="0" shapeId="0" xr:uid="{0FA07A8A-89E8-4A6A-9B07-0B8432230FFF}">
      <text>
        <r>
          <rPr>
            <sz val="9"/>
            <color indexed="81"/>
            <rFont val="Tahoma"/>
            <family val="2"/>
          </rPr>
          <t>Information is required for every roof that will have solar panels installed.</t>
        </r>
      </text>
    </comment>
    <comment ref="H12" authorId="0" shapeId="0" xr:uid="{0999B42E-5E6F-4DF6-A2E8-86FF97E76EE6}">
      <text>
        <r>
          <rPr>
            <b/>
            <sz val="9"/>
            <color indexed="81"/>
            <rFont val="Tahoma"/>
            <family val="2"/>
          </rPr>
          <t xml:space="preserve">Poor: </t>
        </r>
        <r>
          <rPr>
            <sz val="9"/>
            <color indexed="81"/>
            <rFont val="Tahoma"/>
            <family val="2"/>
          </rPr>
          <t>Shows damage, areas that are no longer serviceable, or signs of imminent failure</t>
        </r>
        <r>
          <rPr>
            <b/>
            <sz val="9"/>
            <color indexed="81"/>
            <rFont val="Tahoma"/>
            <family val="2"/>
          </rPr>
          <t xml:space="preserve">
Fair: </t>
        </r>
        <r>
          <rPr>
            <sz val="9"/>
            <color indexed="81"/>
            <rFont val="Tahoma"/>
            <family val="2"/>
          </rPr>
          <t>Shows early signs of wear or areas for minor repair</t>
        </r>
        <r>
          <rPr>
            <b/>
            <sz val="9"/>
            <color indexed="81"/>
            <rFont val="Tahoma"/>
            <family val="2"/>
          </rPr>
          <t xml:space="preserve">
Good: </t>
        </r>
        <r>
          <rPr>
            <sz val="9"/>
            <color indexed="81"/>
            <rFont val="Tahoma"/>
            <family val="2"/>
          </rPr>
          <t>Performing as intended with no areas for repair</t>
        </r>
        <r>
          <rPr>
            <b/>
            <sz val="9"/>
            <color indexed="81"/>
            <rFont val="Tahoma"/>
            <family val="2"/>
          </rPr>
          <t xml:space="preserve">
Excellent: </t>
        </r>
        <r>
          <rPr>
            <sz val="9"/>
            <color indexed="81"/>
            <rFont val="Tahoma"/>
            <family val="2"/>
          </rPr>
          <t>New or like new condition</t>
        </r>
      </text>
    </comment>
    <comment ref="C33" authorId="0" shapeId="0" xr:uid="{1B00DBCC-79F6-4945-8C41-6E31AE016BCB}">
      <text>
        <r>
          <rPr>
            <sz val="9"/>
            <color indexed="81"/>
            <rFont val="Tahoma"/>
            <family val="2"/>
          </rPr>
          <t>Size of other non-rooftop arrays (e.g., carport, ground-mounted) included in project, if applicable.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Alice Suh</author>
  </authors>
  <commentList>
    <comment ref="D34" authorId="0" shapeId="0" xr:uid="{A003F826-B3FD-43D0-B1EF-538F0DB44DEE}">
      <text>
        <r>
          <rPr>
            <sz val="9"/>
            <color indexed="81"/>
            <rFont val="Tahoma"/>
            <family val="2"/>
          </rPr>
          <t>Funds reserved for costs incurred to enable ongoing operation of the system for projected lifetime.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Alice Suh</author>
    <author>Simpson, Molly</author>
    <author>Kelly Jiang</author>
  </authors>
  <commentList>
    <comment ref="C10" authorId="0" shapeId="0" xr:uid="{00000000-0006-0000-0300-000005000000}">
      <text>
        <r>
          <rPr>
            <b/>
            <sz val="9"/>
            <color indexed="81"/>
            <rFont val="Tahoma"/>
            <family val="2"/>
          </rPr>
          <t>True net metering:</t>
        </r>
        <r>
          <rPr>
            <sz val="9"/>
            <color indexed="81"/>
            <rFont val="Tahoma"/>
            <family val="2"/>
          </rPr>
          <t xml:space="preserve"> Net metering, 1-for-1 reimbursement
</t>
        </r>
        <r>
          <rPr>
            <b/>
            <sz val="9"/>
            <color indexed="81"/>
            <rFont val="Tahoma"/>
            <family val="2"/>
          </rPr>
          <t>Valued net metering:</t>
        </r>
        <r>
          <rPr>
            <sz val="9"/>
            <color indexed="81"/>
            <rFont val="Tahoma"/>
            <family val="2"/>
          </rPr>
          <t xml:space="preserve"> Net metering, exported energy is valued at less than a 1-to-1 rate as determined by the utility
</t>
        </r>
        <r>
          <rPr>
            <b/>
            <sz val="9"/>
            <color indexed="81"/>
            <rFont val="Tahoma"/>
            <family val="2"/>
          </rPr>
          <t xml:space="preserve">Buy-all, sell-all: </t>
        </r>
        <r>
          <rPr>
            <sz val="9"/>
            <color indexed="81"/>
            <rFont val="Tahoma"/>
            <family val="2"/>
          </rPr>
          <t>Total system production and total property consumption credited and billed at different rates</t>
        </r>
      </text>
    </comment>
    <comment ref="C12" authorId="1" shapeId="0" xr:uid="{00000000-0006-0000-0300-000006000000}">
      <text>
        <r>
          <rPr>
            <sz val="9"/>
            <color indexed="81"/>
            <rFont val="Tahoma"/>
            <family val="2"/>
          </rPr>
          <t>Include information on loads/meters served and whether the cost savings will accrue to owner, tenants, or both.</t>
        </r>
      </text>
    </comment>
    <comment ref="C37" authorId="0" shapeId="0" xr:uid="{567793CF-D185-4694-8365-9A803973C615}">
      <text>
        <r>
          <rPr>
            <sz val="9"/>
            <color rgb="FF000000"/>
            <rFont val="Tahoma"/>
            <family val="2"/>
          </rPr>
          <t xml:space="preserve">Solar ITC income is based on a federally mandated step down schedule. The base tax credit value is 30% through 2032. After 2032, the tax credit value will step down.
References: https://www.seia.org/initiatives/solar-investment-tax-credit-itc
</t>
        </r>
        <r>
          <rPr>
            <sz val="9"/>
            <color rgb="FF000000"/>
            <rFont val="Tahoma"/>
            <family val="2"/>
          </rPr>
          <t>https://programs.dsireusa.org/system/program/detail/658</t>
        </r>
      </text>
    </comment>
    <comment ref="C38" authorId="2" shapeId="0" xr:uid="{EAFA2AAA-D332-D84C-A369-2044EE61E97E}">
      <text>
        <r>
          <rPr>
            <sz val="9"/>
            <color rgb="FF000000"/>
            <rFont val="Tahoma"/>
            <family val="2"/>
          </rPr>
          <t xml:space="preserve">The ITC Energy Community Adder provides up to an additional 10% tax credit for eligible projects located in energy communities.  </t>
        </r>
      </text>
    </comment>
    <comment ref="C39" authorId="2" shapeId="0" xr:uid="{7154A4AC-3AB8-E141-B12E-139ED3CA67E3}">
      <text>
        <r>
          <rPr>
            <sz val="9"/>
            <color rgb="FF000000"/>
            <rFont val="Tahoma"/>
            <family val="2"/>
          </rPr>
          <t xml:space="preserve">The ITC Energy Community Adder provides up to an additional 10% tax credit for eligible projects that meet thresholds for domestic content in manufactured products. 
</t>
        </r>
        <r>
          <rPr>
            <sz val="9"/>
            <color rgb="FF000000"/>
            <rFont val="Tahoma"/>
            <family val="2"/>
          </rPr>
          <t xml:space="preserve">
</t>
        </r>
        <r>
          <rPr>
            <sz val="9"/>
            <color rgb="FF000000"/>
            <rFont val="Tahoma"/>
            <family val="2"/>
          </rPr>
          <t xml:space="preserve">Resources: https://www.mcguirewoods.com/client-resources/Alerts/2023/5/domestic-content-bonus-guidance-released-irs-notice-2023-38 </t>
        </r>
      </text>
    </comment>
    <comment ref="C40" authorId="2" shapeId="0" xr:uid="{2B7B7E8C-50E9-9E4D-8A12-FFFE7B782DCA}">
      <text>
        <r>
          <rPr>
            <sz val="9"/>
            <color rgb="FF000000"/>
            <rFont val="Tahoma"/>
            <family val="2"/>
          </rPr>
          <t xml:space="preserve">The ITC Low-Income Communities Adder provides up to an additional 20% tax credit for eligible projects located in low-income communities. These credits are expected to be competitive. 
</t>
        </r>
        <r>
          <rPr>
            <sz val="9"/>
            <color rgb="FF000000"/>
            <rFont val="Tahoma"/>
            <family val="2"/>
          </rPr>
          <t xml:space="preserve">
</t>
        </r>
        <r>
          <rPr>
            <sz val="9"/>
            <color rgb="FF000000"/>
            <rFont val="Tahoma"/>
            <family val="2"/>
          </rPr>
          <t>Resources: https://www.mcguirewoods.com/client-resources/Alerts/2023/2/irs-guidance-energy-tax-credits-low-income-communities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Simpson, Molly</author>
    <author>Alice Suh</author>
  </authors>
  <commentList>
    <comment ref="E9" authorId="0" shapeId="0" xr:uid="{00000000-0006-0000-0700-000001000000}">
      <text>
        <r>
          <rPr>
            <sz val="9"/>
            <color indexed="81"/>
            <rFont val="Tahoma"/>
            <family val="2"/>
          </rPr>
          <t xml:space="preserve">Degradation factor reduces income year-over-year; increase factor increases expense year-over-year. </t>
        </r>
      </text>
    </comment>
    <comment ref="E11" authorId="1" shapeId="0" xr:uid="{B1733DE1-7707-489C-B870-BA29F0586CBA}">
      <text>
        <r>
          <rPr>
            <sz val="9"/>
            <color indexed="81"/>
            <rFont val="Tahoma"/>
            <family val="2"/>
          </rPr>
          <t>Annual degradation or increase factor should include degradation of savings based on panel losses and increase in savings based on utility rate increases.</t>
        </r>
      </text>
    </comment>
  </commentList>
</comments>
</file>

<file path=xl/sharedStrings.xml><?xml version="1.0" encoding="utf-8"?>
<sst xmlns="http://schemas.openxmlformats.org/spreadsheetml/2006/main" count="755" uniqueCount="505">
  <si>
    <t>CONTENTS</t>
  </si>
  <si>
    <t>Lender Validation</t>
  </si>
  <si>
    <t>HOW TO USE THIS FILE</t>
  </si>
  <si>
    <t>1)</t>
  </si>
  <si>
    <t>2)</t>
  </si>
  <si>
    <t>3)</t>
  </si>
  <si>
    <t>Lender:</t>
  </si>
  <si>
    <t>Input-</t>
  </si>
  <si>
    <t>PROJECT INFORMATION</t>
  </si>
  <si>
    <t>Property Name</t>
  </si>
  <si>
    <t>Initial Submission Date</t>
  </si>
  <si>
    <t>Revision 1 Date</t>
  </si>
  <si>
    <t>Revision 2 Date</t>
  </si>
  <si>
    <t>Revision 3 Date</t>
  </si>
  <si>
    <t>Revision 4 Date</t>
  </si>
  <si>
    <t>INPUT: System Details</t>
  </si>
  <si>
    <t>Years left on roof warranty</t>
  </si>
  <si>
    <t>Roof type</t>
  </si>
  <si>
    <t>Location of panels</t>
  </si>
  <si>
    <t>Location of inverters and other electrical equipment</t>
  </si>
  <si>
    <t>Roof</t>
  </si>
  <si>
    <t>Ground mount</t>
  </si>
  <si>
    <t>Carport</t>
  </si>
  <si>
    <t>Wall mount</t>
  </si>
  <si>
    <t>Panel location</t>
  </si>
  <si>
    <t>Flat</t>
  </si>
  <si>
    <t>Other</t>
  </si>
  <si>
    <t>Pitched/shingle</t>
  </si>
  <si>
    <t>Battery system type</t>
  </si>
  <si>
    <t>Panels</t>
  </si>
  <si>
    <t>Inverters</t>
  </si>
  <si>
    <t>Racking system</t>
  </si>
  <si>
    <t>n/a</t>
  </si>
  <si>
    <t>SYSTEM DETAILS</t>
  </si>
  <si>
    <t>SYSTEM COMPONENTS</t>
  </si>
  <si>
    <t>PERMITTING AND INTERCONNECTION</t>
  </si>
  <si>
    <t>Utility Permission to Operate (PTO)</t>
  </si>
  <si>
    <t>Useful life (years)</t>
  </si>
  <si>
    <t>AVAILABLE INCENTIVES</t>
  </si>
  <si>
    <t>kW AC</t>
  </si>
  <si>
    <t>kW DC</t>
  </si>
  <si>
    <t>Expected annual production</t>
  </si>
  <si>
    <t>AC System Size</t>
  </si>
  <si>
    <t>DC System Size</t>
  </si>
  <si>
    <t>Yes/No</t>
  </si>
  <si>
    <t>Yes</t>
  </si>
  <si>
    <t>No</t>
  </si>
  <si>
    <t>kWh/year</t>
  </si>
  <si>
    <t>ALERTS</t>
  </si>
  <si>
    <t>kWh</t>
  </si>
  <si>
    <t>System component</t>
  </si>
  <si>
    <t>Age of roof (years)</t>
  </si>
  <si>
    <t>Does the utility require an assessment of the system size or location to determine any network upgrade fees?</t>
  </si>
  <si>
    <t>Up front</t>
  </si>
  <si>
    <t>At end of term</t>
  </si>
  <si>
    <t>Upon construction</t>
  </si>
  <si>
    <t>Upon PTO</t>
  </si>
  <si>
    <t>Are there any grants or subsidies that may need to be repaid or unrealized if certain conditions are not met?</t>
  </si>
  <si>
    <t>months</t>
  </si>
  <si>
    <t>Has the assessment been performed?</t>
  </si>
  <si>
    <t>Will any 3rd party have a right to a lien upon or security interest in any of the facilities?</t>
  </si>
  <si>
    <t>On-going monitoring data capability</t>
  </si>
  <si>
    <t xml:space="preserve">Instructions to Lender: </t>
  </si>
  <si>
    <t>Report Validation by Lender</t>
  </si>
  <si>
    <t>System size (kW DC)</t>
  </si>
  <si>
    <t>Network upgrade assessment fee</t>
  </si>
  <si>
    <t>Comments</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</si>
  <si>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</si>
  <si>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</si>
  <si>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</si>
  <si>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</si>
  <si>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</si>
  <si>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</si>
  <si>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</si>
  <si>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</si>
  <si>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</si>
  <si>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</si>
  <si>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</si>
  <si>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</si>
  <si>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</si>
  <si>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</si>
  <si>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</si>
  <si>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</si>
  <si>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</si>
  <si>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</si>
  <si>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</si>
  <si>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</si>
  <si>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Year 21</t>
  </si>
  <si>
    <t>Year 22</t>
  </si>
  <si>
    <t>Year 23</t>
  </si>
  <si>
    <t>Year 24</t>
  </si>
  <si>
    <t>Year 25</t>
  </si>
  <si>
    <t>Income (Energy Cost Savings)</t>
  </si>
  <si>
    <t>One-time utility fees</t>
  </si>
  <si>
    <t>Ongoing utility fees</t>
  </si>
  <si>
    <t>Design fees</t>
  </si>
  <si>
    <t>Insurance</t>
  </si>
  <si>
    <t>O&amp;M costs</t>
  </si>
  <si>
    <t>Annual cash flow</t>
  </si>
  <si>
    <t>Does this project include battery storage for resilient infrastructure?</t>
  </si>
  <si>
    <t>Solar Technical Consultant:</t>
  </si>
  <si>
    <t>Inverter location</t>
  </si>
  <si>
    <t>Outdoor ground level</t>
  </si>
  <si>
    <t>Indoor ground level/ basement</t>
  </si>
  <si>
    <t>Total Solar Resource Fraction (TSRF)</t>
  </si>
  <si>
    <t>Milestone</t>
  </si>
  <si>
    <t>Expenses and Fees</t>
  </si>
  <si>
    <t>Net metering valuation</t>
  </si>
  <si>
    <t>Upfront system cost</t>
  </si>
  <si>
    <t>Hard cost contingency</t>
  </si>
  <si>
    <t>Labor</t>
  </si>
  <si>
    <t>LIFETIME CASH FLOW</t>
  </si>
  <si>
    <t>Array cost</t>
  </si>
  <si>
    <t>Inverter cost</t>
  </si>
  <si>
    <t>Balance of system (BOS) cost</t>
  </si>
  <si>
    <t>-</t>
  </si>
  <si>
    <t>Total upfront cost</t>
  </si>
  <si>
    <t>Equipment warranty (years)</t>
  </si>
  <si>
    <t>Battery storage (if applicable)</t>
  </si>
  <si>
    <t>Lead acid</t>
  </si>
  <si>
    <t>Lithium ion</t>
  </si>
  <si>
    <t>FINANCING CONDITIONS</t>
  </si>
  <si>
    <t>Submitted to (Lender)</t>
  </si>
  <si>
    <t>Report Quality Score</t>
  </si>
  <si>
    <t>Reviewer Name</t>
  </si>
  <si>
    <t>Date Approved</t>
  </si>
  <si>
    <t>Technical Solar Assessment Report Rating</t>
  </si>
  <si>
    <t>Allowable Underwritten Cost Savings</t>
  </si>
  <si>
    <t>Total Upfront Cost</t>
  </si>
  <si>
    <t>Input-SystemDetails</t>
  </si>
  <si>
    <t>Input-Proforma</t>
  </si>
  <si>
    <t>Summary of Solar PV System</t>
  </si>
  <si>
    <t>Lender List</t>
  </si>
  <si>
    <t>Arbor Commercial Funding I, LLC</t>
  </si>
  <si>
    <t>Barings Multifamily Capital LLC</t>
  </si>
  <si>
    <t>CBRE Multifamily Capital, Inc.</t>
  </si>
  <si>
    <t>Cinnaire Corporation</t>
  </si>
  <si>
    <t>Citi Community Capital</t>
  </si>
  <si>
    <t>Community Preservation Corporation</t>
  </si>
  <si>
    <t>Massachusetts Housing Partnership</t>
  </si>
  <si>
    <t>Walker &amp; Dunlop, LLC</t>
  </si>
  <si>
    <t>kW</t>
  </si>
  <si>
    <t>Rated storage capacity</t>
  </si>
  <si>
    <t>Power rating</t>
  </si>
  <si>
    <t>Valued net metering</t>
  </si>
  <si>
    <t>SAVINGS FROM ENERGY GENERATION</t>
  </si>
  <si>
    <t>True net metering</t>
  </si>
  <si>
    <t>Buy-all, sell-all</t>
  </si>
  <si>
    <t>Pre-existing conditions (cost to remediate)</t>
  </si>
  <si>
    <t>Describe how generated power will be used and the resulting cost savings to borrower:</t>
  </si>
  <si>
    <t>Roof (street address or 
building identifier)</t>
  </si>
  <si>
    <t>Note: Battery storage may not be used to provide ancillary services beyond resiliency. System must remain grid-connected.</t>
  </si>
  <si>
    <t>Annual degradation or increase factor (%)</t>
  </si>
  <si>
    <t>Tax credits:</t>
  </si>
  <si>
    <t>Energy and Water Efficiency Measure Category</t>
  </si>
  <si>
    <t>Type of Energy and Water Efficiency Measure</t>
  </si>
  <si>
    <t>Renewable energy systems</t>
  </si>
  <si>
    <t>Install photovoltaic system</t>
  </si>
  <si>
    <t>EWEM Names</t>
  </si>
  <si>
    <t>Install photovoltaic system with battery storage</t>
  </si>
  <si>
    <t>Installed Cost</t>
  </si>
  <si>
    <t>Annual Owner Cost Savings</t>
  </si>
  <si>
    <t>Annual Electricity Savings</t>
  </si>
  <si>
    <t>Energy</t>
  </si>
  <si>
    <t>$</t>
  </si>
  <si>
    <t>EUL</t>
  </si>
  <si>
    <t>years</t>
  </si>
  <si>
    <t>Total Photovoltaic System Size</t>
  </si>
  <si>
    <t>Category</t>
  </si>
  <si>
    <t>QC Item</t>
  </si>
  <si>
    <t>QC Alert</t>
  </si>
  <si>
    <t>Solar Technical Consultant Response</t>
  </si>
  <si>
    <t>Year 13-25</t>
  </si>
  <si>
    <t>Year 1-12</t>
  </si>
  <si>
    <t>System Details</t>
  </si>
  <si>
    <t>Roof replacement recommended</t>
  </si>
  <si>
    <t>Operation and Maintenance</t>
  </si>
  <si>
    <t>Financing Conditions</t>
  </si>
  <si>
    <t>Proforma</t>
  </si>
  <si>
    <t>Lifetime Cash Flow (Income)</t>
  </si>
  <si>
    <t>QC Alerts</t>
  </si>
  <si>
    <t>4)</t>
  </si>
  <si>
    <t>No further review</t>
  </si>
  <si>
    <t>Minor corrections</t>
  </si>
  <si>
    <t>Substantial issues</t>
  </si>
  <si>
    <t>Report Score</t>
  </si>
  <si>
    <t>5)</t>
  </si>
  <si>
    <t>Annual Tenant Cost Savings</t>
  </si>
  <si>
    <t>Install battery storage</t>
  </si>
  <si>
    <t>Description of the Energy and Water Efficiency Measure</t>
  </si>
  <si>
    <t>Site Visit Date</t>
  </si>
  <si>
    <t>Description of Equipment</t>
  </si>
  <si>
    <t>Equipment Unit Count</t>
  </si>
  <si>
    <t>Solar PV System Details</t>
  </si>
  <si>
    <t>System Details: Solar PV System Details</t>
  </si>
  <si>
    <t>System Details: Battery Storage System Details</t>
  </si>
  <si>
    <t>Modified Accelerated Cost Recovery System (MACRS)</t>
  </si>
  <si>
    <t>Will the project be subject to one-time utility fees?</t>
  </si>
  <si>
    <t>Will the project be subject to ongoing utility fees?</t>
  </si>
  <si>
    <t>Yes/No/Unknown</t>
  </si>
  <si>
    <t>Unknown</t>
  </si>
  <si>
    <t>Note: No entity may have any right to the equipment and/or output that is senior to the mortgage.</t>
  </si>
  <si>
    <t>RECs</t>
  </si>
  <si>
    <t>Other tax credits</t>
  </si>
  <si>
    <t>Battery Storage System Details</t>
  </si>
  <si>
    <t>ROOF-MOUNTED SYSTEMS (IF APPLICABLE)</t>
  </si>
  <si>
    <t>Tree removal</t>
  </si>
  <si>
    <t>Asbestos remediation</t>
  </si>
  <si>
    <t>Other pre-existing conditions</t>
  </si>
  <si>
    <t>PRE-EXISTING CONDITIONS</t>
  </si>
  <si>
    <t>Roof replacement</t>
  </si>
  <si>
    <t>Solar Investment Tax Credit (ITC)</t>
  </si>
  <si>
    <t>Recommended Project</t>
  </si>
  <si>
    <t>Description of Recommended Project</t>
  </si>
  <si>
    <t>If roof replacement has been recommended as part of the solar PV installation, review and include the following EWEM in Form 4099.H.</t>
  </si>
  <si>
    <t>Review and include the following EWEM in Form 4099.H.</t>
  </si>
  <si>
    <t>Input-RoofMountedSystems</t>
  </si>
  <si>
    <t>Structural upgrades</t>
  </si>
  <si>
    <t>Parapet wall/safety rail upgrades</t>
  </si>
  <si>
    <t>Roof Replacement Recommended</t>
  </si>
  <si>
    <t>Owner</t>
  </si>
  <si>
    <t>Tenant</t>
  </si>
  <si>
    <t>% that may be underwritten</t>
  </si>
  <si>
    <t>Allowable UW Energy Cost Savings</t>
  </si>
  <si>
    <t>Projected Energy Cost Savings (Year 1)</t>
  </si>
  <si>
    <t>2)  Score the Solar Technical Asssessment Quality: 1 - No further corrections; 2 - Minor corrections; 3 - Substantial issues. Enter your name and date of approval.</t>
  </si>
  <si>
    <t>3)  If Solar Technical Assessment has scored 2 or 3 (requires corrections), return this workbook to the Solar Technical Consultant until all issues are resolved.</t>
  </si>
  <si>
    <t>Recommended Measures for Form 4099.H</t>
  </si>
  <si>
    <t>Roof-Mounted Systems</t>
  </si>
  <si>
    <t>Roof-Mounted Systems (Contractor Approval)</t>
  </si>
  <si>
    <t>Savings From Energy Generation</t>
  </si>
  <si>
    <t>Work with HPB Consultant to incorporate Solar PV System Installation and Roof Replacement, if applicable, as EWEMs in Form 4099.H. Review to confirm all descriptions, costs, and savings are captured accurately in Form 4099.H.</t>
  </si>
  <si>
    <t>System Components</t>
  </si>
  <si>
    <t>Data monitoring</t>
  </si>
  <si>
    <t>Inverter direct</t>
  </si>
  <si>
    <t>External/third party</t>
  </si>
  <si>
    <t>INPUT: Roof-Mounted Systems</t>
  </si>
  <si>
    <t>Solar Technical Consultant Company</t>
  </si>
  <si>
    <t>PropertyName</t>
  </si>
  <si>
    <t>SolarConsultant</t>
  </si>
  <si>
    <t>SolarProjectRecommendation</t>
  </si>
  <si>
    <t>SolarProjectDescription</t>
  </si>
  <si>
    <t>DCSystemSize_kW</t>
  </si>
  <si>
    <t>ACSystemSize_kW</t>
  </si>
  <si>
    <t>ExpectedAnnualProduction_kWh</t>
  </si>
  <si>
    <t>TSRF</t>
  </si>
  <si>
    <t>PanelLocation</t>
  </si>
  <si>
    <t>InverterLocation</t>
  </si>
  <si>
    <t>BatteryRecommended</t>
  </si>
  <si>
    <t>BatteryStorageCapacity_kWh</t>
  </si>
  <si>
    <t>BatteryPowerRating_kW</t>
  </si>
  <si>
    <t>BatteryType</t>
  </si>
  <si>
    <t>OtherBatteryType</t>
  </si>
  <si>
    <t>SiteVisitDate</t>
  </si>
  <si>
    <t>InitialSubmissionDate</t>
  </si>
  <si>
    <t>FinalSubmissionDate</t>
  </si>
  <si>
    <t>ExportedEnergyValuation</t>
  </si>
  <si>
    <t>GeneratedPowerUseDescription</t>
  </si>
  <si>
    <t>AnnualTenantCostSavings</t>
  </si>
  <si>
    <t>Battery storage</t>
  </si>
  <si>
    <t>SystemComponent</t>
  </si>
  <si>
    <t>EquipmentDescription</t>
  </si>
  <si>
    <t>EquipmentUnitCount</t>
  </si>
  <si>
    <t>UsefulLife_years</t>
  </si>
  <si>
    <t>EquipmentWarranty_years</t>
  </si>
  <si>
    <t>RoofType</t>
  </si>
  <si>
    <t>RoofAge_years</t>
  </si>
  <si>
    <t>RoofWarrantyRemainingYears_years</t>
  </si>
  <si>
    <t>RoofReplacementRecommended</t>
  </si>
  <si>
    <t>NetworkUpgradeAssessmentRequired</t>
  </si>
  <si>
    <t>NetworkUpgradeAssessmentComplete</t>
  </si>
  <si>
    <t>DataMonitoringCapability</t>
  </si>
  <si>
    <t>ProjectApprovedByRoofManufacturer</t>
  </si>
  <si>
    <t>Lender</t>
  </si>
  <si>
    <t>ApprovalDate</t>
  </si>
  <si>
    <t>ReviewerName</t>
  </si>
  <si>
    <t>GrantOrSubsidyRepaymentLiability</t>
  </si>
  <si>
    <t>ThirdPartyRightToLien</t>
  </si>
  <si>
    <t>OtherFinancingOrDebt</t>
  </si>
  <si>
    <t>Year1</t>
  </si>
  <si>
    <t>System cost subtotal</t>
  </si>
  <si>
    <t>Pre-existing conditions subtotal</t>
  </si>
  <si>
    <t>One-time utility fees subtotal</t>
  </si>
  <si>
    <t>Ongoing utility fees subtotal</t>
  </si>
  <si>
    <t>Total annual cash flow</t>
  </si>
  <si>
    <t>Year2</t>
  </si>
  <si>
    <t>Year3</t>
  </si>
  <si>
    <t>Year4</t>
  </si>
  <si>
    <t>Year5</t>
  </si>
  <si>
    <t>Year6</t>
  </si>
  <si>
    <t>Year7</t>
  </si>
  <si>
    <t>Year8</t>
  </si>
  <si>
    <t>Year9</t>
  </si>
  <si>
    <t>Year10</t>
  </si>
  <si>
    <t>Year11</t>
  </si>
  <si>
    <t>Year12</t>
  </si>
  <si>
    <t>Year13</t>
  </si>
  <si>
    <t>Year14</t>
  </si>
  <si>
    <t>Year15</t>
  </si>
  <si>
    <t>Year16</t>
  </si>
  <si>
    <t>Year17</t>
  </si>
  <si>
    <t>Year18</t>
  </si>
  <si>
    <t>Year19</t>
  </si>
  <si>
    <t>Year20</t>
  </si>
  <si>
    <t>Year21</t>
  </si>
  <si>
    <t>Year22</t>
  </si>
  <si>
    <t>Year23</t>
  </si>
  <si>
    <t>Year24</t>
  </si>
  <si>
    <t>Year25</t>
  </si>
  <si>
    <t>Tax credits subtotal</t>
  </si>
  <si>
    <t>AnnualDegradationOrIncreaseFactor</t>
  </si>
  <si>
    <t>ExpenseOrIncome</t>
  </si>
  <si>
    <t>ExpenseOrIncomeComments</t>
  </si>
  <si>
    <t>RoofReplacementDescription</t>
  </si>
  <si>
    <t>RoofComments</t>
  </si>
  <si>
    <t>4)  High Perfomance Building Consultant must incorporate the recommended measures into Form 4099.H as Energy and Water Efficiency Measures (EWEMs).</t>
  </si>
  <si>
    <t xml:space="preserve">1)  Review entire workbook to verify that no yellow cells are incomplete, and Solar Technical Consultant has satisfactorily responded to any QC alerts in Check Errors tab. </t>
  </si>
  <si>
    <t>Fannie Mae Multifamily Form 4099.I</t>
  </si>
  <si>
    <t>If the report or 4099.I requires corrections, work with the Solar Technical Consultant to resolve issues.</t>
  </si>
  <si>
    <t>Income</t>
  </si>
  <si>
    <t>Expenses</t>
  </si>
  <si>
    <t>Efficiency Measures for Solar PV System Installation</t>
  </si>
  <si>
    <t>Efficiency Measures for Roof Replacement</t>
  </si>
  <si>
    <t xml:space="preserve"> </t>
  </si>
  <si>
    <r>
      <t xml:space="preserve">Lender Validation tab:  </t>
    </r>
    <r>
      <rPr>
        <sz val="9"/>
        <rFont val="Source Sans Pro"/>
        <family val="2"/>
      </rPr>
      <t xml:space="preserve">The Lender verifies the Savings Underwriting. </t>
    </r>
  </si>
  <si>
    <r>
      <t>QC tab:</t>
    </r>
    <r>
      <rPr>
        <sz val="9"/>
        <rFont val="Source Sans Pro"/>
        <family val="2"/>
      </rPr>
      <t xml:space="preserve">  After the rest of the workbook has been completed, the Lender and Solar Technical Consultant use this tab to review and address error alerts.</t>
    </r>
  </si>
  <si>
    <r>
      <t xml:space="preserve">INPUT tabs: </t>
    </r>
    <r>
      <rPr>
        <sz val="9"/>
        <rFont val="Source Sans Pro"/>
        <family val="2"/>
      </rPr>
      <t xml:space="preserve">The Solar Technical Consultant is responsible for entering complete and accurate project information in these tabs. </t>
    </r>
  </si>
  <si>
    <r>
      <t>REPORT tabs:</t>
    </r>
    <r>
      <rPr>
        <sz val="9"/>
        <color theme="1"/>
        <rFont val="Source Sans Pro"/>
        <family val="2"/>
      </rPr>
      <t xml:space="preserve"> </t>
    </r>
    <r>
      <rPr>
        <sz val="9"/>
        <color rgb="FFFF0000"/>
        <rFont val="Source Sans Pro"/>
        <family val="2"/>
      </rPr>
      <t>These tables will be automatically populated with data from the Input tabs. The HPB Consultant must paste the resulting tables into the HPB Report.</t>
    </r>
  </si>
  <si>
    <r>
      <t xml:space="preserve">Enter required project information in the </t>
    </r>
    <r>
      <rPr>
        <b/>
        <sz val="10"/>
        <rFont val="Source Sans Pro"/>
        <family val="2"/>
      </rPr>
      <t>Input tabs</t>
    </r>
    <r>
      <rPr>
        <sz val="10"/>
        <rFont val="Source Sans Pro"/>
        <family val="2"/>
      </rPr>
      <t xml:space="preserve">. </t>
    </r>
  </si>
  <si>
    <r>
      <t xml:space="preserve">Review all </t>
    </r>
    <r>
      <rPr>
        <b/>
        <sz val="10"/>
        <rFont val="Source Sans Pro"/>
        <family val="2"/>
      </rPr>
      <t>Input tabs</t>
    </r>
    <r>
      <rPr>
        <sz val="10"/>
        <rFont val="Source Sans Pro"/>
        <family val="2"/>
      </rPr>
      <t xml:space="preserve"> for completeness. Any yellow fields indicate required information that must be filled out.</t>
    </r>
  </si>
  <si>
    <r>
      <t xml:space="preserve">Complete the </t>
    </r>
    <r>
      <rPr>
        <b/>
        <sz val="10"/>
        <rFont val="Source Sans Pro"/>
        <family val="2"/>
      </rPr>
      <t>Lender Validation tab</t>
    </r>
    <r>
      <rPr>
        <sz val="10"/>
        <rFont val="Source Sans Pro"/>
        <family val="2"/>
      </rPr>
      <t>. Verify program eligibility and score the report quality.</t>
    </r>
  </si>
  <si>
    <r>
      <t xml:space="preserve">Instructions:  </t>
    </r>
    <r>
      <rPr>
        <i/>
        <sz val="10"/>
        <color theme="1"/>
        <rFont val="Source Sans Pro"/>
        <family val="2"/>
      </rPr>
      <t>Enter project details and basic system information. Yellow fields indicate required information. White fields are optional.</t>
    </r>
  </si>
  <si>
    <r>
      <t xml:space="preserve">Instructions:  </t>
    </r>
    <r>
      <rPr>
        <i/>
        <sz val="10"/>
        <color theme="1"/>
        <rFont val="Source Sans Pro"/>
        <family val="2"/>
      </rPr>
      <t>For roof-mounted systems, enter details of roof assessment and recommended roof replacements. Yellow fields indicate required information. White fields are optional.</t>
    </r>
  </si>
  <si>
    <t>4099I</t>
  </si>
  <si>
    <t>How will exported or net-metered energy be valued?</t>
  </si>
  <si>
    <t>Roof Condition</t>
  </si>
  <si>
    <t>RoofCondition</t>
  </si>
  <si>
    <t>Poor</t>
  </si>
  <si>
    <t>Fair</t>
  </si>
  <si>
    <t>Good</t>
  </si>
  <si>
    <t>Excellent</t>
  </si>
  <si>
    <t>Report Score Description</t>
  </si>
  <si>
    <t>ITC Claimed</t>
  </si>
  <si>
    <t>ITC Beginning</t>
  </si>
  <si>
    <t>Upfront Expenses</t>
  </si>
  <si>
    <t>When do tax credits begin?</t>
  </si>
  <si>
    <t>If the system is removed before the end of this period, will the borrower be liable for repayment of tax credits already claimed?</t>
  </si>
  <si>
    <t>How long must the system be operating in order to take advantage of full tax credits?</t>
  </si>
  <si>
    <t>Operating and replacement reserve</t>
  </si>
  <si>
    <t>Form 4099.I – 
Technical Solar Assessment</t>
  </si>
  <si>
    <t>Provide expected timeline for key milestones for interconnection in weeks from start of project. Add other permits or key milestones as applicable.</t>
  </si>
  <si>
    <t>Note: The tax code is complex.  All numbers in this document should be considered illustrative examples only. This information is neither legal nor tax advice. Please consult a taxation specialist. Fannie Mae shall not be responsible for damages.</t>
  </si>
  <si>
    <t>If yes, what percentage of the owner electricity cost is expected to be billed back to tenants?</t>
  </si>
  <si>
    <t>Does the owner bill back tenants for their electricity consumption (through RUBS, submetering, or flat utility fee)?</t>
  </si>
  <si>
    <t>Year 1 Expected Owner and Tenant Consumption and Cost Savings</t>
  </si>
  <si>
    <t xml:space="preserve">Owner-metered electricity offset by system </t>
  </si>
  <si>
    <t xml:space="preserve">Tenant-metered electricity offset by system </t>
  </si>
  <si>
    <t>Is the project being funded with any financing or debt other than   borrower/sponsor equity?</t>
  </si>
  <si>
    <t>AnnualOwnerCostSavings</t>
  </si>
  <si>
    <t>AnnualOwnerMeteredElectricityOffset_kWh</t>
  </si>
  <si>
    <t>AnnualTenantMeteredElectricityOffset_kWh</t>
  </si>
  <si>
    <t>Annual Energy Cost Savings 
(averaged over lifetime)</t>
  </si>
  <si>
    <t>TaxCreditRepaymentLiability</t>
  </si>
  <si>
    <t>TaxCreditMinimumTimeFrame_months</t>
  </si>
  <si>
    <t>TaxCreditStart</t>
  </si>
  <si>
    <t>TaxCreditClaimedAt</t>
  </si>
  <si>
    <t>VRLA (valve regulated lead acid)</t>
  </si>
  <si>
    <t>Performance warranty (years)</t>
  </si>
  <si>
    <t>Description of roof replacement recommended for solar PV installation if applicable</t>
  </si>
  <si>
    <t>Total system size (kW DC):</t>
  </si>
  <si>
    <t>Capital One, National Association</t>
  </si>
  <si>
    <t>Newmark Knight Frank</t>
  </si>
  <si>
    <t>Orix Real Estate Capital, LLC</t>
  </si>
  <si>
    <t>Complete</t>
  </si>
  <si>
    <t>Version4099I</t>
  </si>
  <si>
    <t>INPUT: Income</t>
  </si>
  <si>
    <t>Year 1 Cost ($)</t>
  </si>
  <si>
    <t>Will the project require remediation of pre-existing conditions?</t>
  </si>
  <si>
    <t>INPUT: Upfront Expenses</t>
  </si>
  <si>
    <t>ONE-TIME UTILITY FEES</t>
  </si>
  <si>
    <t>ONGOING UTILITY FEES</t>
  </si>
  <si>
    <t>OPERATION AND MAINTENANCE (O&amp;M)</t>
  </si>
  <si>
    <t>SYSTEM COST</t>
  </si>
  <si>
    <t>O&amp;M</t>
  </si>
  <si>
    <t>OTHER YEAR 1 EXPENSES</t>
  </si>
  <si>
    <t>Year 1 Income ($)</t>
  </si>
  <si>
    <t>Government subsidies/grants</t>
  </si>
  <si>
    <t>Number of weeks from project start</t>
  </si>
  <si>
    <r>
      <t xml:space="preserve">Instructions:  </t>
    </r>
    <r>
      <rPr>
        <i/>
        <sz val="10"/>
        <color theme="1"/>
        <rFont val="Source Sans Pro"/>
        <family val="2"/>
      </rPr>
      <t>Enter upfront cost information. Yellow fields indicate required information. White fields are optional.</t>
    </r>
  </si>
  <si>
    <r>
      <t xml:space="preserve">Instructions:  </t>
    </r>
    <r>
      <rPr>
        <i/>
        <sz val="10"/>
        <color theme="1"/>
        <rFont val="Source Sans Pro"/>
        <family val="2"/>
      </rPr>
      <t>Enter lifetime cash flow information. Yellow fields indicate required information. White fields are optional.</t>
    </r>
  </si>
  <si>
    <t>PerformanceWarranty_years</t>
  </si>
  <si>
    <t>Describe how Time of Use (TOU) or demand charges will affect cost savings, if applicable:</t>
  </si>
  <si>
    <t>Applicable</t>
  </si>
  <si>
    <t>TimeOfUseChargesDescription</t>
  </si>
  <si>
    <t>Permitting and Interconnection</t>
  </si>
  <si>
    <t>Available Incentives</t>
  </si>
  <si>
    <t>chart:</t>
  </si>
  <si>
    <t>completeness check:</t>
  </si>
  <si>
    <t>complete</t>
  </si>
  <si>
    <r>
      <t xml:space="preserve">Instructions:  </t>
    </r>
    <r>
      <rPr>
        <i/>
        <sz val="10"/>
        <color theme="1"/>
        <rFont val="Source Sans Pro"/>
        <family val="2"/>
      </rPr>
      <t>Enter information for energy savings and incentive income and financing conditions. Yellow fields indicate required information. White fields are optional.</t>
    </r>
  </si>
  <si>
    <t>MilestoneDescription</t>
  </si>
  <si>
    <t>WeeksFromProjectStart</t>
  </si>
  <si>
    <t>Upfront Cost ($)</t>
  </si>
  <si>
    <t>Network upgrade costs</t>
  </si>
  <si>
    <t>Other upfront utility fees/costs due to solar</t>
  </si>
  <si>
    <t>Monthly fixed charges due to solar</t>
  </si>
  <si>
    <t>Other ongoing fees due to solar</t>
  </si>
  <si>
    <t>Upgrades to existing building electrical system</t>
  </si>
  <si>
    <t>Is there a contract for O&amp;M following installation?</t>
  </si>
  <si>
    <t>Project management (includes filing, permitting, expediting, etc.)</t>
  </si>
  <si>
    <t>Obtain Building Department Permit</t>
  </si>
  <si>
    <t>Close out Building Department Permit</t>
  </si>
  <si>
    <t>Obtain Electrical Permit</t>
  </si>
  <si>
    <t>Close out Electrical Permit</t>
  </si>
  <si>
    <t>ITC schedule:</t>
  </si>
  <si>
    <t>How will ITC be claimed?</t>
  </si>
  <si>
    <t>Indicate conditions on ITC and other income. (ITC refers to the federal solar Investment tax credit that allows partial deduction of solar energy system installation costs from federal taxes.)</t>
  </si>
  <si>
    <t>Over multiple years of term</t>
  </si>
  <si>
    <t>Operating Reserve (if applicable)</t>
  </si>
  <si>
    <t>Enter associated annual degradation or increase factors for Year 1 income and expenses. Review and confirm values in subsequent years are modeled as expected. Enter remaining annual income and expenses. (Income and expenses through the lifetime of the project are subject to change and are intended to be illustrative only.)</t>
  </si>
  <si>
    <t>Does the planned project meet the roofing manufacturer's requirements to maintain the roofing warranty?</t>
  </si>
  <si>
    <t>Owner-metered electricity cost savings ($)</t>
  </si>
  <si>
    <t>Tenant-metered electricity cost savings ($)</t>
  </si>
  <si>
    <t>Owner Cost Savings ($)</t>
  </si>
  <si>
    <t>Tenant Cost Savings ($)</t>
  </si>
  <si>
    <t>Other expenses</t>
  </si>
  <si>
    <t>INPUT: Financial Pro Forma</t>
  </si>
  <si>
    <r>
      <t xml:space="preserve">In the </t>
    </r>
    <r>
      <rPr>
        <b/>
        <sz val="10"/>
        <rFont val="Source Sans Pro"/>
        <family val="2"/>
      </rPr>
      <t>QC Alerts</t>
    </r>
    <r>
      <rPr>
        <sz val="10"/>
        <rFont val="Source Sans Pro"/>
        <family val="2"/>
      </rPr>
      <t xml:space="preserve"> </t>
    </r>
    <r>
      <rPr>
        <b/>
        <sz val="10"/>
        <rFont val="Source Sans Pro"/>
        <family val="2"/>
      </rPr>
      <t>tab</t>
    </r>
    <r>
      <rPr>
        <sz val="10"/>
        <rFont val="Source Sans Pro"/>
        <family val="2"/>
      </rPr>
      <t xml:space="preserve">, review any QC alerts and address all issues in the space provided. </t>
    </r>
  </si>
  <si>
    <r>
      <t xml:space="preserve">Review </t>
    </r>
    <r>
      <rPr>
        <b/>
        <sz val="10"/>
        <rFont val="Source Sans Pro"/>
        <family val="2"/>
      </rPr>
      <t>Input</t>
    </r>
    <r>
      <rPr>
        <sz val="10"/>
        <rFont val="Source Sans Pro"/>
        <family val="2"/>
      </rPr>
      <t xml:space="preserve"> </t>
    </r>
    <r>
      <rPr>
        <b/>
        <sz val="10"/>
        <rFont val="Source Sans Pro"/>
        <family val="2"/>
      </rPr>
      <t>tabs</t>
    </r>
    <r>
      <rPr>
        <sz val="10"/>
        <rFont val="Source Sans Pro"/>
        <family val="2"/>
      </rPr>
      <t xml:space="preserve"> and confirm all required (yellow) fields and applicable optional (white) fields are complete.</t>
    </r>
  </si>
  <si>
    <r>
      <t xml:space="preserve">In the </t>
    </r>
    <r>
      <rPr>
        <b/>
        <sz val="10"/>
        <rFont val="Source Sans Pro"/>
        <family val="2"/>
      </rPr>
      <t>QC Alerts</t>
    </r>
    <r>
      <rPr>
        <sz val="10"/>
        <rFont val="Source Sans Pro"/>
        <family val="2"/>
      </rPr>
      <t xml:space="preserve"> </t>
    </r>
    <r>
      <rPr>
        <b/>
        <sz val="10"/>
        <rFont val="Source Sans Pro"/>
        <family val="2"/>
      </rPr>
      <t>tab</t>
    </r>
    <r>
      <rPr>
        <sz val="10"/>
        <rFont val="Source Sans Pro"/>
        <family val="2"/>
      </rPr>
      <t>, review any QC alerts and responses from the Solar Technical Consultant.</t>
    </r>
  </si>
  <si>
    <t>Input-UpfrontExpenses</t>
  </si>
  <si>
    <t>Input-Income</t>
  </si>
  <si>
    <t>Lifetime Cash Flow (Expenses)</t>
  </si>
  <si>
    <r>
      <t xml:space="preserve">Instructions: </t>
    </r>
    <r>
      <rPr>
        <i/>
        <sz val="10"/>
        <color theme="1"/>
        <rFont val="Source Sans Pro"/>
        <family val="2"/>
      </rPr>
      <t xml:space="preserve"> Check all required (yellow) fields throughout workbook have been completed. Solar Technical Consultant must respond to any QC Alerts in column G by correcting errors or by providing an adequate description of exceptions to the alert.</t>
    </r>
  </si>
  <si>
    <t>Will the property be credited by the utility for excess generated electricity (net-metered)?</t>
  </si>
  <si>
    <t>Other income or credits</t>
  </si>
  <si>
    <t>Renewable Energy Credits (RECs), e.g. SRECs, ZRECs</t>
  </si>
  <si>
    <t>Government subsidies or grants</t>
  </si>
  <si>
    <t>Any other expected incentives</t>
  </si>
  <si>
    <t>Applicable to Project?</t>
  </si>
  <si>
    <t>Other incentives or income</t>
  </si>
  <si>
    <t>ExcessGenerationNetMetered</t>
  </si>
  <si>
    <t>Additional non-rooftop system size (kW DC):</t>
  </si>
  <si>
    <t>Bellwether Enterprise Mortgage Investments, LLC</t>
  </si>
  <si>
    <t>Berkadia Commercial Mortgage LLC</t>
  </si>
  <si>
    <t>Citibank, N.A.</t>
  </si>
  <si>
    <t>Colliers Mortgage LLC</t>
  </si>
  <si>
    <t>Dougherty Mortgage, LLC</t>
  </si>
  <si>
    <t>Grandbridge Real Estate Capital LLC</t>
  </si>
  <si>
    <t>Greystone Servicing Company, LLC</t>
  </si>
  <si>
    <t>Hunt Mortgage Capital, LLC</t>
  </si>
  <si>
    <t>Jones Lang LaSalle Multifamily, LLC.</t>
  </si>
  <si>
    <t>JPMorgan Chase Bank, NA</t>
  </si>
  <si>
    <t>KEYBANK NATIONAL ASSOCIATION</t>
  </si>
  <si>
    <t>M &amp; T Realty Capital Corporation</t>
  </si>
  <si>
    <t>Merchants Capital Corp</t>
  </si>
  <si>
    <t>NorthMarq Capital Finance, L.L.C.</t>
  </si>
  <si>
    <t>PNC Bank, National Association</t>
  </si>
  <si>
    <t>Prudential Multifamily Mortgage, LLC</t>
  </si>
  <si>
    <t>Regions Bank</t>
  </si>
  <si>
    <t>Sabal Capital Partners</t>
  </si>
  <si>
    <t>The Community Development Trust Inc</t>
  </si>
  <si>
    <t>Truist Bank</t>
  </si>
  <si>
    <t>Wells Fargo Bank, N.A.</t>
  </si>
  <si>
    <t>Description must include recommended technologies, system size, location, and any necessary remediation of pre-existing conditions.</t>
  </si>
  <si>
    <r>
      <rPr>
        <b/>
        <i/>
        <sz val="10"/>
        <color theme="1"/>
        <rFont val="Source Sans Pro"/>
        <family val="2"/>
      </rPr>
      <t>NOTE:</t>
    </r>
    <r>
      <rPr>
        <i/>
        <sz val="10"/>
        <color theme="1"/>
        <rFont val="Source Sans Pro"/>
        <family val="2"/>
      </rPr>
      <t xml:space="preserve">  HPB Consultant must use the following EWEMs in the Form 4099.H accompanying the HPB Report. EWEM information below and in the 4099.H should match exactly.</t>
    </r>
  </si>
  <si>
    <t>The following project and description must be included as an EWEM in the HPB Report and Form 4099.H. See 'Lender Validation' tab for EWEMs that must be entered in Form 4099.H.</t>
  </si>
  <si>
    <t>October, 2023</t>
  </si>
  <si>
    <t>OCT23</t>
  </si>
  <si>
    <t>Solar Investment Tax Credit (ITC) Domestic Content Adder</t>
  </si>
  <si>
    <t>Solar Investment Tax Credit (ITC) Energy Community Adder</t>
  </si>
  <si>
    <t>Solar Investment Tax Credit (ITC) Low-Income Communities Adder</t>
  </si>
  <si>
    <t>Low-Income Communities Adders</t>
  </si>
  <si>
    <t>Low-Income Community</t>
  </si>
  <si>
    <t>Low-Income Residential Project</t>
  </si>
  <si>
    <t>Low-Income Economic Benefit Project</t>
  </si>
  <si>
    <t>Low-Income Communities Adders Percentages</t>
  </si>
  <si>
    <t>Generic Energy Consulting</t>
  </si>
  <si>
    <t>On roof and carport</t>
  </si>
  <si>
    <t>On roofs and canopies</t>
  </si>
  <si>
    <t>Astroenergy Semi 385-410W; Astroenergy Bifacial 385-405W</t>
  </si>
  <si>
    <t>Canadian Solar 25-40 kW; Solar Edge 66kW</t>
  </si>
  <si>
    <t>IronRidge Roof and Canopy Racking</t>
  </si>
  <si>
    <t>Install foam roof overlap on top of existing roof for Buildings A,B,E,F,G,H,I and leasing office.</t>
  </si>
  <si>
    <t>Leasing office</t>
  </si>
  <si>
    <t>Building A</t>
  </si>
  <si>
    <t>Building B</t>
  </si>
  <si>
    <t>Building C</t>
  </si>
  <si>
    <t>Building D</t>
  </si>
  <si>
    <t>Building E</t>
  </si>
  <si>
    <t>Building F</t>
  </si>
  <si>
    <t>Building G</t>
  </si>
  <si>
    <t>Building H</t>
  </si>
  <si>
    <t>Building I</t>
  </si>
  <si>
    <t>Building J</t>
  </si>
  <si>
    <t>Install foam overlap over existing roof.</t>
  </si>
  <si>
    <t xml:space="preserve">Includes electrical, racking, and canopy construction </t>
  </si>
  <si>
    <t xml:space="preserve">Selective tree trimming </t>
  </si>
  <si>
    <t xml:space="preserve">Generated electricity will be used to offset 82% of the whole property's electricity consumption which is fully owner-paid. </t>
  </si>
  <si>
    <t xml:space="preserve">The PV system will reduce grid consumption during both on- and off peak hours (peak hours: 3pm to 8pm) and annual savings are not expected to vary significantly due to TOU charges. </t>
  </si>
  <si>
    <t>State depreciation</t>
  </si>
  <si>
    <t>Alyssa Sah</t>
  </si>
  <si>
    <t>Ongoing utility fees and insurance costs are $0 so 0% increase was entered.</t>
  </si>
  <si>
    <t>Javelina Heights</t>
  </si>
  <si>
    <t xml:space="preserve">Install grid-tied 850.8 kW Solar PV System composed of 520.8 kW roof-mounted (non-ballasted) and 330 kW canopy-mounted arrays. Selective tree trimming and roof replacement must be included as per the Technical Solar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</si>
</sst>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quot;$&quot;#,##0"/>
    <numFmt numFmtId="166" formatCode="&quot;$&quot;#,##0.00"/>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1"/>
      <color theme="1"/>
      <name val="Arial"/>
      <family val="2"/>
    </font>
    <font>
      <sz val="10"/>
      <name val="Arial"/>
      <family val="2"/>
    </font>
    <font>
      <sz val="10"/>
      <color theme="1"/>
      <name val="Arial"/>
      <family val="2"/>
    </font>
    <font>
      <sz val="9"/>
      <color indexed="81"/>
      <name val="Tahoma"/>
      <family val="2"/>
    </font>
    <font>
      <b/>
      <sz val="9"/>
      <color indexed="81"/>
      <name val="Tahoma"/>
      <family val="2"/>
    </font>
    <font>
      <u/>
      <sz val="11"/>
      <color theme="10"/>
      <name val="Calibri"/>
      <family val="2"/>
      <scheme val="minor"/>
    </font>
    <font>
      <sz val="11"/>
      <name val="Calibri"/>
      <family val="2"/>
      <scheme val="minor"/>
    </font>
    <font>
      <sz val="11"/>
      <color indexed="8"/>
      <name val="Calibri"/>
      <family val="2"/>
    </font>
    <font>
      <sz val="9"/>
      <color theme="1"/>
      <name val="Source Sans Pro"/>
      <family val="2"/>
    </font>
    <font>
      <sz val="11"/>
      <color theme="0"/>
      <name val="Source Sans Pro"/>
      <family val="2"/>
    </font>
    <font>
      <b/>
      <sz val="10"/>
      <color theme="1"/>
      <name val="Source Sans Pro"/>
      <family val="2"/>
    </font>
    <font>
      <b/>
      <i/>
      <sz val="11"/>
      <color rgb="FFFF0000"/>
      <name val="Source Sans Pro"/>
      <family val="2"/>
    </font>
    <font>
      <sz val="11"/>
      <color theme="1"/>
      <name val="Source Sans Pro"/>
      <family val="2"/>
    </font>
    <font>
      <b/>
      <sz val="20"/>
      <name val="Source Sans Pro"/>
      <family val="2"/>
    </font>
    <font>
      <b/>
      <sz val="11"/>
      <name val="Source Sans Pro"/>
      <family val="2"/>
    </font>
    <font>
      <sz val="11"/>
      <color theme="3"/>
      <name val="Source Sans Pro"/>
      <family val="2"/>
    </font>
    <font>
      <b/>
      <sz val="9"/>
      <color theme="0"/>
      <name val="Source Sans Pro"/>
      <family val="2"/>
    </font>
    <font>
      <b/>
      <sz val="9"/>
      <name val="Source Sans Pro"/>
      <family val="2"/>
    </font>
    <font>
      <sz val="9"/>
      <name val="Source Sans Pro"/>
      <family val="2"/>
    </font>
    <font>
      <sz val="9"/>
      <color rgb="FFFF0000"/>
      <name val="Source Sans Pro"/>
      <family val="2"/>
    </font>
    <font>
      <b/>
      <i/>
      <sz val="11"/>
      <color theme="3"/>
      <name val="Source Sans Pro"/>
      <family val="2"/>
    </font>
    <font>
      <sz val="10"/>
      <name val="Source Sans Pro"/>
      <family val="2"/>
    </font>
    <font>
      <b/>
      <sz val="10"/>
      <name val="Source Sans Pro"/>
      <family val="2"/>
    </font>
    <font>
      <sz val="11"/>
      <name val="Source Sans Pro"/>
      <family val="2"/>
    </font>
    <font>
      <b/>
      <sz val="20"/>
      <color theme="1"/>
      <name val="Source Sans Pro"/>
      <family val="2"/>
    </font>
    <font>
      <b/>
      <i/>
      <sz val="10"/>
      <color theme="1"/>
      <name val="Source Sans Pro"/>
      <family val="2"/>
    </font>
    <font>
      <sz val="10"/>
      <color theme="1"/>
      <name val="Source Sans Pro"/>
      <family val="2"/>
    </font>
    <font>
      <b/>
      <sz val="14"/>
      <name val="Source Sans Pro"/>
      <family val="2"/>
    </font>
    <font>
      <b/>
      <sz val="9"/>
      <color theme="1"/>
      <name val="Source Sans Pro"/>
      <family val="2"/>
    </font>
    <font>
      <b/>
      <sz val="11"/>
      <color theme="1"/>
      <name val="Source Sans Pro"/>
      <family val="2"/>
    </font>
    <font>
      <i/>
      <sz val="9"/>
      <color theme="1"/>
      <name val="Source Sans Pro"/>
      <family val="2"/>
    </font>
    <font>
      <i/>
      <sz val="10"/>
      <color theme="1"/>
      <name val="Source Sans Pro"/>
      <family val="2"/>
    </font>
    <font>
      <sz val="11"/>
      <color rgb="FFFF0000"/>
      <name val="Source Sans Pro"/>
      <family val="2"/>
    </font>
    <font>
      <b/>
      <i/>
      <sz val="9"/>
      <color theme="0"/>
      <name val="Source Sans Pro"/>
      <family val="2"/>
    </font>
    <font>
      <i/>
      <sz val="9"/>
      <color rgb="FFFF0000"/>
      <name val="Source Sans Pro"/>
      <family val="2"/>
    </font>
    <font>
      <b/>
      <sz val="14"/>
      <color theme="1"/>
      <name val="Source Sans Pro"/>
      <family val="2"/>
    </font>
    <font>
      <sz val="18"/>
      <color theme="1"/>
      <name val="Source Sans Pro"/>
      <family val="2"/>
    </font>
    <font>
      <b/>
      <sz val="9"/>
      <color theme="0" tint="-0.499984740745262"/>
      <name val="Source Sans Pro"/>
      <family val="2"/>
    </font>
    <font>
      <i/>
      <sz val="9"/>
      <name val="Source Sans Pro"/>
      <family val="2"/>
    </font>
    <font>
      <sz val="9"/>
      <color theme="0" tint="-4.9989318521683403E-2"/>
      <name val="Source Sans Pro"/>
      <family val="2"/>
    </font>
    <font>
      <sz val="9"/>
      <color theme="0"/>
      <name val="Source Sans Pro"/>
      <family val="2"/>
    </font>
    <font>
      <b/>
      <sz val="16"/>
      <name val="Source Sans Pro"/>
      <family val="2"/>
    </font>
    <font>
      <sz val="9"/>
      <color rgb="FF000000"/>
      <name val="Tahoma"/>
      <family val="2"/>
    </font>
  </fonts>
  <fills count="9">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rgb="FF92D05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theme="0" tint="-0.14999847407452621"/>
        <bgColor indexed="64"/>
      </patternFill>
    </fill>
  </fills>
  <borders count="13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thin">
        <color theme="0" tint="-0.24994659260841701"/>
      </left>
      <right style="thin">
        <color theme="0" tint="-0.24994659260841701"/>
      </right>
      <top/>
      <bottom style="hair">
        <color theme="0" tint="-0.2499465926084170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style="thin">
        <color indexed="64"/>
      </top>
      <bottom/>
      <diagonal/>
    </border>
    <border>
      <left style="thin">
        <color theme="0" tint="-0.24994659260841701"/>
      </left>
      <right style="thin">
        <color theme="0" tint="-0.24994659260841701"/>
      </right>
      <top style="hair">
        <color theme="0" tint="-0.24994659260841701"/>
      </top>
      <bottom/>
      <diagonal/>
    </border>
    <border>
      <left style="thin">
        <color theme="0" tint="-0.24994659260841701"/>
      </left>
      <right style="thin">
        <color theme="0" tint="-0.24994659260841701"/>
      </right>
      <top style="double">
        <color theme="0" tint="-0.24994659260841701"/>
      </top>
      <bottom/>
      <diagonal/>
    </border>
    <border>
      <left style="thin">
        <color theme="0" tint="-0.24994659260841701"/>
      </left>
      <right style="thin">
        <color theme="0" tint="-0.24994659260841701"/>
      </right>
      <top/>
      <bottom/>
      <diagonal/>
    </border>
    <border>
      <left style="hair">
        <color indexed="64"/>
      </left>
      <right/>
      <top style="thin">
        <color indexed="64"/>
      </top>
      <bottom style="double">
        <color indexed="64"/>
      </bottom>
      <diagonal/>
    </border>
    <border>
      <left style="thin">
        <color indexed="64"/>
      </left>
      <right/>
      <top/>
      <bottom style="hair">
        <color indexed="64"/>
      </bottom>
      <diagonal/>
    </border>
    <border>
      <left style="hair">
        <color indexed="64"/>
      </left>
      <right/>
      <top/>
      <bottom style="hair">
        <color indexed="64"/>
      </bottom>
      <diagonal/>
    </border>
    <border>
      <left style="thin">
        <color indexed="64"/>
      </left>
      <right style="hair">
        <color indexed="64"/>
      </right>
      <top style="double">
        <color indexed="64"/>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double">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top style="hair">
        <color indexed="64"/>
      </top>
      <bottom/>
      <diagonal/>
    </border>
    <border>
      <left style="hair">
        <color indexed="64"/>
      </left>
      <right style="hair">
        <color indexed="64"/>
      </right>
      <top style="double">
        <color indexed="64"/>
      </top>
      <bottom style="hair">
        <color indexed="64"/>
      </bottom>
      <diagonal/>
    </border>
    <border>
      <left style="thin">
        <color indexed="64"/>
      </left>
      <right/>
      <top/>
      <bottom/>
      <diagonal/>
    </border>
    <border>
      <left/>
      <right/>
      <top style="thin">
        <color indexed="64"/>
      </top>
      <bottom style="double">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right style="thin">
        <color indexed="64"/>
      </right>
      <top style="thin">
        <color indexed="64"/>
      </top>
      <bottom style="double">
        <color indexed="64"/>
      </bottom>
      <diagonal/>
    </border>
    <border>
      <left/>
      <right style="thin">
        <color indexed="64"/>
      </right>
      <top style="hair">
        <color indexed="64"/>
      </top>
      <bottom/>
      <diagonal/>
    </border>
    <border>
      <left style="thin">
        <color indexed="64"/>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double">
        <color indexed="64"/>
      </bottom>
      <diagonal/>
    </border>
    <border>
      <left/>
      <right/>
      <top style="hair">
        <color indexed="64"/>
      </top>
      <bottom style="thin">
        <color indexed="64"/>
      </bottom>
      <diagonal/>
    </border>
    <border>
      <left/>
      <right/>
      <top style="hair">
        <color indexed="64"/>
      </top>
      <bottom style="double">
        <color indexed="64"/>
      </bottom>
      <diagonal/>
    </border>
    <border>
      <left style="thin">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thin">
        <color indexed="64"/>
      </right>
      <top style="double">
        <color indexed="64"/>
      </top>
      <bottom style="thin">
        <color indexed="64"/>
      </bottom>
      <diagonal/>
    </border>
    <border>
      <left/>
      <right style="hair">
        <color indexed="64"/>
      </right>
      <top/>
      <bottom/>
      <diagonal/>
    </border>
    <border>
      <left style="hair">
        <color indexed="64"/>
      </left>
      <right/>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right style="hair">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style="thin">
        <color theme="0" tint="-0.24994659260841701"/>
      </left>
      <right style="thin">
        <color theme="0" tint="-0.24994659260841701"/>
      </right>
      <top style="hair">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hair">
        <color indexed="64"/>
      </left>
      <right/>
      <top style="thin">
        <color indexed="64"/>
      </top>
      <bottom style="thin">
        <color indexed="64"/>
      </bottom>
      <diagonal/>
    </border>
    <border>
      <left style="thin">
        <color theme="0" tint="-0.24994659260841701"/>
      </left>
      <right style="thin">
        <color theme="0" tint="-0.24994659260841701"/>
      </right>
      <top style="double">
        <color theme="0" tint="-0.24994659260841701"/>
      </top>
      <bottom style="thin">
        <color theme="0" tint="-0.24994659260841701"/>
      </bottom>
      <diagonal/>
    </border>
    <border>
      <left style="thin">
        <color theme="0" tint="-0.24994659260841701"/>
      </left>
      <right style="thin">
        <color theme="0" tint="-0.24994659260841701"/>
      </right>
      <top style="hair">
        <color theme="0" tint="-0.24994659260841701"/>
      </top>
      <bottom style="hair">
        <color theme="0" tint="-0.24994659260841701"/>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double">
        <color theme="0" tint="-0.24994659260841701"/>
      </bottom>
      <diagonal/>
    </border>
    <border>
      <left style="hair">
        <color auto="1"/>
      </left>
      <right style="thin">
        <color auto="1"/>
      </right>
      <top style="thin">
        <color auto="1"/>
      </top>
      <bottom style="thin">
        <color auto="1"/>
      </bottom>
      <diagonal/>
    </border>
    <border>
      <left style="hair">
        <color auto="1"/>
      </left>
      <right/>
      <top style="double">
        <color auto="1"/>
      </top>
      <bottom style="double">
        <color auto="1"/>
      </bottom>
      <diagonal/>
    </border>
    <border>
      <left/>
      <right style="thin">
        <color auto="1"/>
      </right>
      <top style="double">
        <color auto="1"/>
      </top>
      <bottom style="double">
        <color auto="1"/>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theme="0" tint="-0.24994659260841701"/>
      </left>
      <right style="thin">
        <color theme="0" tint="-0.24994659260841701"/>
      </right>
      <top style="double">
        <color theme="0" tint="-0.24994659260841701"/>
      </top>
      <bottom style="hair">
        <color theme="0" tint="-0.24994659260841701"/>
      </bottom>
      <diagonal/>
    </border>
    <border>
      <left/>
      <right/>
      <top style="hair">
        <color indexed="64"/>
      </top>
      <bottom/>
      <diagonal/>
    </border>
    <border>
      <left/>
      <right style="hair">
        <color indexed="64"/>
      </right>
      <top style="hair">
        <color indexed="64"/>
      </top>
      <bottom/>
      <diagonal/>
    </border>
    <border>
      <left/>
      <right style="thin">
        <color indexed="64"/>
      </right>
      <top/>
      <bottom style="double">
        <color indexed="64"/>
      </bottom>
      <diagonal/>
    </border>
    <border>
      <left/>
      <right style="thin">
        <color indexed="64"/>
      </right>
      <top/>
      <bottom style="thin">
        <color indexed="64"/>
      </bottom>
      <diagonal/>
    </border>
    <border>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s>
  <cellStyleXfs count="7">
    <xf numFmtId="0" fontId="0" fillId="0" borderId="0"/>
    <xf numFmtId="44" fontId="1" fillId="0" borderId="0" applyFont="0" applyFill="0" applyBorder="0" applyAlignment="0" applyProtection="0"/>
    <xf numFmtId="0" fontId="9" fillId="0" borderId="0" applyNumberFormat="0" applyFill="0" applyBorder="0" applyAlignment="0" applyProtection="0"/>
    <xf numFmtId="9" fontId="1" fillId="0" borderId="0" applyFont="0" applyFill="0" applyBorder="0" applyAlignment="0" applyProtection="0"/>
    <xf numFmtId="44" fontId="11" fillId="0" borderId="0" applyFont="0" applyFill="0" applyBorder="0" applyAlignment="0" applyProtection="0"/>
    <xf numFmtId="0" fontId="1" fillId="0" borderId="0"/>
    <xf numFmtId="0" fontId="5" fillId="0" borderId="0"/>
  </cellStyleXfs>
  <cellXfs count="485">
    <xf numFmtId="0" fontId="0" fillId="0" borderId="0" xfId="0"/>
    <xf numFmtId="0" fontId="4" fillId="0" borderId="0" xfId="0" applyFont="1"/>
    <xf numFmtId="0" fontId="6" fillId="0" borderId="0" xfId="0" applyFont="1"/>
    <xf numFmtId="0" fontId="4" fillId="0" borderId="0" xfId="0" applyFont="1" applyAlignment="1">
      <alignment vertical="center"/>
    </xf>
    <xf numFmtId="0" fontId="2" fillId="0" borderId="0" xfId="0" applyFont="1"/>
    <xf numFmtId="0" fontId="3" fillId="0" borderId="0" xfId="0" applyFont="1" applyAlignment="1">
      <alignment horizontal="left"/>
    </xf>
    <xf numFmtId="0" fontId="10" fillId="0" borderId="0" xfId="0" applyFont="1"/>
    <xf numFmtId="0" fontId="13" fillId="0" borderId="0" xfId="0" applyFont="1"/>
    <xf numFmtId="0" fontId="14" fillId="0" borderId="0" xfId="0" applyFont="1"/>
    <xf numFmtId="0" fontId="15" fillId="0" borderId="0" xfId="0" applyFont="1" applyAlignment="1">
      <alignment horizontal="left" wrapText="1"/>
    </xf>
    <xf numFmtId="0" fontId="16" fillId="0" borderId="0" xfId="0" applyFont="1"/>
    <xf numFmtId="0" fontId="18" fillId="0" borderId="1" xfId="0" applyFont="1" applyBorder="1"/>
    <xf numFmtId="0" fontId="16" fillId="0" borderId="1" xfId="0" applyFont="1" applyBorder="1"/>
    <xf numFmtId="0" fontId="19" fillId="0" borderId="0" xfId="0" applyFont="1"/>
    <xf numFmtId="0" fontId="20" fillId="2" borderId="2" xfId="0" applyFont="1" applyFill="1" applyBorder="1" applyAlignment="1">
      <alignment vertical="center"/>
    </xf>
    <xf numFmtId="0" fontId="20" fillId="3" borderId="2" xfId="0" applyFont="1" applyFill="1" applyBorder="1" applyAlignment="1">
      <alignment vertical="center"/>
    </xf>
    <xf numFmtId="0" fontId="21" fillId="4" borderId="2" xfId="0" applyFont="1" applyFill="1" applyBorder="1" applyAlignment="1">
      <alignment vertical="center"/>
    </xf>
    <xf numFmtId="0" fontId="20" fillId="5" borderId="2" xfId="0" applyFont="1" applyFill="1" applyBorder="1" applyAlignment="1">
      <alignment vertical="center"/>
    </xf>
    <xf numFmtId="0" fontId="18" fillId="0" borderId="0" xfId="0" applyFont="1"/>
    <xf numFmtId="0" fontId="21" fillId="6" borderId="2" xfId="0" applyFont="1" applyFill="1" applyBorder="1" applyAlignment="1">
      <alignment vertical="center"/>
    </xf>
    <xf numFmtId="0" fontId="19" fillId="0" borderId="30" xfId="0" applyFont="1" applyBorder="1"/>
    <xf numFmtId="0" fontId="24" fillId="0" borderId="0" xfId="0" applyFont="1"/>
    <xf numFmtId="0" fontId="18" fillId="0" borderId="0" xfId="0" applyFont="1" applyAlignment="1">
      <alignment vertical="top"/>
    </xf>
    <xf numFmtId="0" fontId="25" fillId="0" borderId="0" xfId="0" applyFont="1"/>
    <xf numFmtId="0" fontId="25" fillId="0" borderId="0" xfId="0" applyFont="1" applyAlignment="1">
      <alignment vertical="top"/>
    </xf>
    <xf numFmtId="0" fontId="27" fillId="0" borderId="0" xfId="0" applyFont="1"/>
    <xf numFmtId="0" fontId="22" fillId="0" borderId="0" xfId="0" applyFont="1" applyAlignment="1">
      <alignment vertical="top" wrapText="1"/>
    </xf>
    <xf numFmtId="0" fontId="28" fillId="0" borderId="0" xfId="0" applyFont="1"/>
    <xf numFmtId="0" fontId="29" fillId="0" borderId="0" xfId="0" applyFont="1"/>
    <xf numFmtId="0" fontId="31" fillId="0" borderId="1" xfId="0" applyFont="1" applyBorder="1"/>
    <xf numFmtId="0" fontId="22" fillId="0" borderId="1" xfId="0" applyFont="1" applyBorder="1" applyAlignment="1">
      <alignment horizontal="left"/>
    </xf>
    <xf numFmtId="0" fontId="22" fillId="0" borderId="1" xfId="0" applyFont="1" applyBorder="1"/>
    <xf numFmtId="0" fontId="22" fillId="0" borderId="0" xfId="0" applyFont="1"/>
    <xf numFmtId="0" fontId="16" fillId="0" borderId="0" xfId="0" applyFont="1" applyAlignment="1">
      <alignment vertical="center"/>
    </xf>
    <xf numFmtId="0" fontId="27" fillId="0" borderId="69" xfId="0" applyFont="1" applyBorder="1" applyAlignment="1">
      <alignment vertical="center"/>
    </xf>
    <xf numFmtId="0" fontId="27" fillId="0" borderId="0" xfId="0" applyFont="1" applyAlignment="1">
      <alignment vertical="center"/>
    </xf>
    <xf numFmtId="0" fontId="21" fillId="0" borderId="6" xfId="0" applyFont="1" applyBorder="1" applyAlignment="1">
      <alignment horizontal="right" vertical="center"/>
    </xf>
    <xf numFmtId="0" fontId="12" fillId="0" borderId="0" xfId="0" applyFont="1" applyAlignment="1" applyProtection="1">
      <alignment horizontal="center" vertical="center"/>
      <protection locked="0" hidden="1"/>
    </xf>
    <xf numFmtId="0" fontId="22" fillId="0" borderId="0" xfId="0" applyFont="1" applyAlignment="1">
      <alignment horizontal="left"/>
    </xf>
    <xf numFmtId="0" fontId="22" fillId="0" borderId="0" xfId="0" applyFont="1" applyAlignment="1">
      <alignment horizontal="right" vertical="center"/>
    </xf>
    <xf numFmtId="0" fontId="21" fillId="0" borderId="0" xfId="0" applyFont="1" applyAlignment="1">
      <alignment horizontal="right" vertical="center"/>
    </xf>
    <xf numFmtId="0" fontId="12" fillId="0" borderId="2" xfId="0" applyFont="1" applyBorder="1" applyAlignment="1" applyProtection="1">
      <alignment horizontal="center" vertical="center"/>
      <protection locked="0"/>
    </xf>
    <xf numFmtId="0" fontId="22" fillId="0" borderId="0" xfId="0" applyFont="1" applyAlignment="1" applyProtection="1">
      <alignment vertical="center"/>
      <protection hidden="1"/>
    </xf>
    <xf numFmtId="14" fontId="22" fillId="0" borderId="2" xfId="2" applyNumberFormat="1" applyFont="1" applyFill="1" applyBorder="1" applyAlignment="1" applyProtection="1">
      <alignment horizontal="left" vertical="center"/>
      <protection locked="0"/>
    </xf>
    <xf numFmtId="0" fontId="21" fillId="0" borderId="6" xfId="0" applyFont="1" applyBorder="1" applyAlignment="1">
      <alignment vertical="center" wrapText="1"/>
    </xf>
    <xf numFmtId="0" fontId="32" fillId="0" borderId="0" xfId="0" applyFont="1" applyAlignment="1">
      <alignment vertical="center"/>
    </xf>
    <xf numFmtId="164" fontId="12" fillId="6" borderId="2" xfId="1" applyNumberFormat="1" applyFont="1" applyFill="1" applyBorder="1" applyAlignment="1" applyProtection="1">
      <alignment horizontal="center" vertical="center"/>
      <protection hidden="1"/>
    </xf>
    <xf numFmtId="0" fontId="22" fillId="0" borderId="1" xfId="0" applyFont="1" applyBorder="1" applyAlignment="1">
      <alignment horizontal="right"/>
    </xf>
    <xf numFmtId="0" fontId="12" fillId="0" borderId="0" xfId="0" applyFont="1" applyAlignment="1">
      <alignment vertical="center"/>
    </xf>
    <xf numFmtId="0" fontId="12" fillId="0" borderId="0" xfId="0" applyFont="1" applyAlignment="1">
      <alignment horizontal="right" vertical="center"/>
    </xf>
    <xf numFmtId="0" fontId="32" fillId="6" borderId="108" xfId="0" applyFont="1" applyFill="1" applyBorder="1" applyAlignment="1">
      <alignment horizontal="center" vertical="center"/>
    </xf>
    <xf numFmtId="0" fontId="32" fillId="6" borderId="99" xfId="0" applyFont="1" applyFill="1" applyBorder="1" applyAlignment="1">
      <alignment horizontal="center" vertical="center"/>
    </xf>
    <xf numFmtId="164" fontId="12" fillId="6" borderId="71" xfId="0" applyNumberFormat="1" applyFont="1" applyFill="1" applyBorder="1" applyAlignment="1">
      <alignment vertical="center"/>
    </xf>
    <xf numFmtId="164" fontId="12" fillId="6" borderId="23" xfId="0" applyNumberFormat="1" applyFont="1" applyFill="1" applyBorder="1" applyAlignment="1">
      <alignment vertical="center"/>
    </xf>
    <xf numFmtId="0" fontId="12" fillId="0" borderId="7" xfId="0" applyFont="1" applyBorder="1" applyAlignment="1">
      <alignment vertical="center"/>
    </xf>
    <xf numFmtId="0" fontId="12" fillId="0" borderId="7" xfId="0" applyFont="1" applyBorder="1" applyAlignment="1">
      <alignment horizontal="right" vertical="center"/>
    </xf>
    <xf numFmtId="9" fontId="12" fillId="6" borderId="70" xfId="0" applyNumberFormat="1" applyFont="1" applyFill="1" applyBorder="1" applyAlignment="1">
      <alignment vertical="center"/>
    </xf>
    <xf numFmtId="9" fontId="12" fillId="6" borderId="21" xfId="0" applyNumberFormat="1" applyFont="1" applyFill="1" applyBorder="1" applyAlignment="1">
      <alignment vertical="center"/>
    </xf>
    <xf numFmtId="0" fontId="32" fillId="0" borderId="0" xfId="0" applyFont="1" applyAlignment="1">
      <alignment horizontal="right" vertical="center"/>
    </xf>
    <xf numFmtId="164" fontId="12" fillId="6" borderId="44" xfId="0" applyNumberFormat="1" applyFont="1" applyFill="1" applyBorder="1" applyAlignment="1">
      <alignment vertical="center"/>
    </xf>
    <xf numFmtId="0" fontId="12" fillId="0" borderId="0" xfId="0" applyFont="1"/>
    <xf numFmtId="0" fontId="33" fillId="0" borderId="0" xfId="0" applyFont="1" applyAlignment="1">
      <alignment horizontal="right"/>
    </xf>
    <xf numFmtId="0" fontId="34" fillId="0" borderId="0" xfId="0" applyFont="1"/>
    <xf numFmtId="0" fontId="21" fillId="6" borderId="102" xfId="0" applyFont="1" applyFill="1" applyBorder="1" applyAlignment="1">
      <alignment horizontal="center" vertical="center" wrapText="1"/>
    </xf>
    <xf numFmtId="0" fontId="21" fillId="6" borderId="103" xfId="0" applyFont="1" applyFill="1" applyBorder="1" applyAlignment="1">
      <alignment horizontal="center" vertical="center" wrapText="1"/>
    </xf>
    <xf numFmtId="0" fontId="21" fillId="6" borderId="104" xfId="0" applyFont="1" applyFill="1" applyBorder="1" applyAlignment="1">
      <alignment horizontal="center" vertical="center" wrapText="1"/>
    </xf>
    <xf numFmtId="0" fontId="21" fillId="6" borderId="105" xfId="0" applyFont="1" applyFill="1" applyBorder="1" applyAlignment="1">
      <alignment horizontal="center" vertical="center" wrapText="1"/>
    </xf>
    <xf numFmtId="0" fontId="21" fillId="6" borderId="63" xfId="0" applyFont="1" applyFill="1" applyBorder="1" applyAlignment="1">
      <alignment horizontal="center" vertical="center" wrapText="1"/>
    </xf>
    <xf numFmtId="0" fontId="21" fillId="6" borderId="72" xfId="0" applyFont="1" applyFill="1" applyBorder="1" applyAlignment="1">
      <alignment horizontal="center" vertical="center" wrapText="1"/>
    </xf>
    <xf numFmtId="0" fontId="21" fillId="6" borderId="106" xfId="0" applyFont="1" applyFill="1" applyBorder="1" applyAlignment="1">
      <alignment horizontal="center" vertical="center" wrapText="1"/>
    </xf>
    <xf numFmtId="0" fontId="21" fillId="6" borderId="94" xfId="0" applyFont="1" applyFill="1" applyBorder="1" applyAlignment="1">
      <alignment horizontal="center" vertical="center" wrapText="1"/>
    </xf>
    <xf numFmtId="0" fontId="12" fillId="6" borderId="61" xfId="0" applyFont="1" applyFill="1" applyBorder="1" applyAlignment="1">
      <alignment vertical="center" wrapText="1"/>
    </xf>
    <xf numFmtId="164" fontId="12" fillId="6" borderId="67" xfId="1" applyNumberFormat="1" applyFont="1" applyFill="1" applyBorder="1" applyAlignment="1">
      <alignment vertical="center"/>
    </xf>
    <xf numFmtId="164" fontId="12" fillId="6" borderId="107" xfId="0" applyNumberFormat="1" applyFont="1" applyFill="1" applyBorder="1" applyAlignment="1">
      <alignment vertical="center"/>
    </xf>
    <xf numFmtId="164" fontId="12" fillId="6" borderId="77" xfId="0" applyNumberFormat="1" applyFont="1" applyFill="1" applyBorder="1" applyAlignment="1">
      <alignment vertical="center"/>
    </xf>
    <xf numFmtId="3" fontId="12" fillId="6" borderId="96" xfId="0" applyNumberFormat="1" applyFont="1" applyFill="1" applyBorder="1" applyAlignment="1">
      <alignment horizontal="center" vertical="center"/>
    </xf>
    <xf numFmtId="0" fontId="12" fillId="6" borderId="68" xfId="0" applyFont="1" applyFill="1" applyBorder="1" applyAlignment="1">
      <alignment horizontal="center" vertical="center"/>
    </xf>
    <xf numFmtId="0" fontId="12" fillId="6" borderId="61" xfId="0" applyFont="1" applyFill="1" applyBorder="1" applyAlignment="1">
      <alignment vertical="center"/>
    </xf>
    <xf numFmtId="0" fontId="31" fillId="0" borderId="0" xfId="0" applyFont="1"/>
    <xf numFmtId="0" fontId="36" fillId="0" borderId="0" xfId="0" applyFont="1"/>
    <xf numFmtId="0" fontId="21" fillId="0" borderId="0" xfId="0" applyFont="1" applyAlignment="1">
      <alignment horizontal="left"/>
    </xf>
    <xf numFmtId="0" fontId="21" fillId="6" borderId="91" xfId="0" applyFont="1" applyFill="1" applyBorder="1" applyAlignment="1">
      <alignment vertical="center" wrapText="1"/>
    </xf>
    <xf numFmtId="0" fontId="37" fillId="7" borderId="3" xfId="0" applyFont="1" applyFill="1" applyBorder="1" applyAlignment="1">
      <alignment vertical="center"/>
    </xf>
    <xf numFmtId="0" fontId="37" fillId="7" borderId="2" xfId="0" applyFont="1" applyFill="1" applyBorder="1" applyAlignment="1">
      <alignment vertical="center"/>
    </xf>
    <xf numFmtId="0" fontId="22" fillId="6" borderId="36" xfId="0" applyFont="1" applyFill="1" applyBorder="1" applyAlignment="1">
      <alignment vertical="center" wrapText="1"/>
    </xf>
    <xf numFmtId="0" fontId="22" fillId="0" borderId="10" xfId="0" applyFont="1" applyBorder="1" applyAlignment="1" applyProtection="1">
      <alignment vertical="center" wrapText="1"/>
      <protection locked="0"/>
    </xf>
    <xf numFmtId="0" fontId="22" fillId="6" borderId="59" xfId="0" applyFont="1" applyFill="1" applyBorder="1" applyAlignment="1">
      <alignment vertical="center" wrapText="1"/>
    </xf>
    <xf numFmtId="0" fontId="22" fillId="0" borderId="11" xfId="0" applyFont="1" applyBorder="1" applyAlignment="1" applyProtection="1">
      <alignment vertical="center" wrapText="1"/>
      <protection locked="0"/>
    </xf>
    <xf numFmtId="0" fontId="22" fillId="6" borderId="40" xfId="0" applyFont="1" applyFill="1" applyBorder="1" applyAlignment="1">
      <alignment vertical="center" wrapText="1"/>
    </xf>
    <xf numFmtId="0" fontId="22" fillId="0" borderId="9" xfId="0" applyFont="1" applyBorder="1" applyAlignment="1" applyProtection="1">
      <alignment vertical="center" wrapText="1"/>
      <protection locked="0"/>
    </xf>
    <xf numFmtId="0" fontId="22" fillId="0" borderId="0" xfId="0" applyFont="1" applyAlignment="1">
      <alignment vertical="center"/>
    </xf>
    <xf numFmtId="0" fontId="38" fillId="0" borderId="0" xfId="0" applyFont="1" applyAlignment="1">
      <alignment vertical="center" wrapText="1"/>
    </xf>
    <xf numFmtId="0" fontId="33" fillId="0" borderId="0" xfId="0" applyFont="1" applyAlignment="1">
      <alignment horizontal="left" vertical="center"/>
    </xf>
    <xf numFmtId="0" fontId="33" fillId="0" borderId="0" xfId="0" applyFont="1" applyAlignment="1">
      <alignment vertical="center"/>
    </xf>
    <xf numFmtId="164" fontId="33" fillId="0" borderId="0" xfId="0" applyNumberFormat="1" applyFont="1" applyAlignment="1">
      <alignment vertical="center"/>
    </xf>
    <xf numFmtId="0" fontId="30" fillId="0" borderId="0" xfId="0" applyFont="1"/>
    <xf numFmtId="0" fontId="39" fillId="0" borderId="1" xfId="0" applyFont="1" applyBorder="1"/>
    <xf numFmtId="0" fontId="40" fillId="0" borderId="0" xfId="0" applyFont="1"/>
    <xf numFmtId="0" fontId="16" fillId="0" borderId="7" xfId="0" applyFont="1" applyBorder="1" applyAlignment="1">
      <alignment vertical="center"/>
    </xf>
    <xf numFmtId="14" fontId="12" fillId="0" borderId="2" xfId="0" applyNumberFormat="1" applyFont="1" applyBorder="1" applyAlignment="1" applyProtection="1">
      <alignment horizontal="center" vertical="center"/>
      <protection locked="0"/>
    </xf>
    <xf numFmtId="14" fontId="12" fillId="0" borderId="8" xfId="0" applyNumberFormat="1" applyFont="1" applyBorder="1" applyAlignment="1" applyProtection="1">
      <alignment horizontal="center" vertical="center"/>
      <protection locked="0"/>
    </xf>
    <xf numFmtId="14" fontId="12" fillId="0" borderId="11" xfId="0" applyNumberFormat="1" applyFont="1" applyBorder="1" applyAlignment="1" applyProtection="1">
      <alignment horizontal="center" vertical="center"/>
      <protection locked="0"/>
    </xf>
    <xf numFmtId="14" fontId="12" fillId="0" borderId="9" xfId="0" applyNumberFormat="1" applyFont="1" applyBorder="1" applyAlignment="1" applyProtection="1">
      <alignment horizontal="center" vertical="center"/>
      <protection locked="0"/>
    </xf>
    <xf numFmtId="0" fontId="39" fillId="0" borderId="0" xfId="0" applyFont="1"/>
    <xf numFmtId="0" fontId="12" fillId="0" borderId="8" xfId="0" applyFont="1" applyBorder="1" applyAlignment="1" applyProtection="1">
      <alignment horizontal="center" vertical="center"/>
      <protection locked="0"/>
    </xf>
    <xf numFmtId="0" fontId="41" fillId="0" borderId="15" xfId="0" applyFont="1" applyBorder="1" applyAlignment="1">
      <alignment horizontal="center" vertical="center" wrapText="1"/>
    </xf>
    <xf numFmtId="0" fontId="12" fillId="0" borderId="11" xfId="0" applyFont="1" applyBorder="1" applyAlignment="1" applyProtection="1">
      <alignment horizontal="center" vertical="center"/>
      <protection locked="0"/>
    </xf>
    <xf numFmtId="0" fontId="23" fillId="0" borderId="16" xfId="0" applyFont="1" applyBorder="1" applyAlignment="1" applyProtection="1">
      <alignment vertical="center" wrapText="1"/>
      <protection hidden="1"/>
    </xf>
    <xf numFmtId="0" fontId="12" fillId="0" borderId="9" xfId="0" applyFont="1" applyBorder="1" applyAlignment="1" applyProtection="1">
      <alignment horizontal="center" vertical="center"/>
      <protection locked="0"/>
    </xf>
    <xf numFmtId="9" fontId="12" fillId="0" borderId="2" xfId="0" applyNumberFormat="1" applyFont="1" applyBorder="1" applyAlignment="1" applyProtection="1">
      <alignment horizontal="center" vertical="center"/>
      <protection locked="0"/>
    </xf>
    <xf numFmtId="0" fontId="32" fillId="0" borderId="0" xfId="0" applyFont="1" applyAlignment="1">
      <alignment horizontal="right" vertical="center" wrapText="1"/>
    </xf>
    <xf numFmtId="0" fontId="12" fillId="0" borderId="2" xfId="0" applyFont="1" applyBorder="1" applyAlignment="1" applyProtection="1">
      <alignment horizontal="center" vertical="center" wrapText="1"/>
      <protection locked="0"/>
    </xf>
    <xf numFmtId="0" fontId="42" fillId="0" borderId="0" xfId="0" applyFont="1" applyAlignment="1">
      <alignment horizontal="left" vertical="center"/>
    </xf>
    <xf numFmtId="0" fontId="23" fillId="0" borderId="92" xfId="0" applyFont="1" applyBorder="1" applyAlignment="1" applyProtection="1">
      <alignment vertical="center" wrapText="1"/>
      <protection hidden="1"/>
    </xf>
    <xf numFmtId="0" fontId="32" fillId="0" borderId="7" xfId="0" applyFont="1" applyBorder="1" applyAlignment="1">
      <alignment horizontal="right" vertical="center" wrapText="1"/>
    </xf>
    <xf numFmtId="0" fontId="12" fillId="0" borderId="10" xfId="0" applyFont="1" applyBorder="1" applyAlignment="1" applyProtection="1">
      <alignment horizontal="center" vertical="center" wrapText="1"/>
      <protection locked="0"/>
    </xf>
    <xf numFmtId="43" fontId="16" fillId="0" borderId="0" xfId="0" applyNumberFormat="1" applyFont="1" applyAlignment="1">
      <alignment vertical="center"/>
    </xf>
    <xf numFmtId="0" fontId="42" fillId="0" borderId="0" xfId="0" applyFont="1" applyAlignment="1">
      <alignment horizontal="left" vertical="center" wrapText="1"/>
    </xf>
    <xf numFmtId="0" fontId="32" fillId="6" borderId="27" xfId="0" applyFont="1" applyFill="1" applyBorder="1" applyAlignment="1">
      <alignment horizontal="center" vertical="center" wrapText="1"/>
    </xf>
    <xf numFmtId="0" fontId="32" fillId="6" borderId="28" xfId="0" applyFont="1" applyFill="1" applyBorder="1" applyAlignment="1">
      <alignment horizontal="center" vertical="center" wrapText="1"/>
    </xf>
    <xf numFmtId="0" fontId="32" fillId="6" borderId="29" xfId="0" applyFont="1" applyFill="1" applyBorder="1" applyAlignment="1">
      <alignment horizontal="center" vertical="center" wrapText="1"/>
    </xf>
    <xf numFmtId="0" fontId="32" fillId="6" borderId="37" xfId="0" applyFont="1" applyFill="1" applyBorder="1" applyAlignment="1">
      <alignment horizontal="center" vertical="center"/>
    </xf>
    <xf numFmtId="0" fontId="12" fillId="0" borderId="18"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32" fillId="6" borderId="17" xfId="0" applyFont="1" applyFill="1" applyBorder="1" applyAlignment="1">
      <alignment horizontal="center" vertical="center"/>
    </xf>
    <xf numFmtId="0" fontId="12" fillId="0" borderId="18" xfId="0" applyFont="1" applyBorder="1" applyAlignment="1" applyProtection="1">
      <alignment horizontal="center" vertical="center"/>
      <protection locked="0"/>
    </xf>
    <xf numFmtId="0" fontId="12" fillId="6" borderId="19" xfId="0" applyFont="1" applyFill="1" applyBorder="1" applyAlignment="1">
      <alignment horizontal="center" vertical="center"/>
    </xf>
    <xf numFmtId="0" fontId="32" fillId="6" borderId="44" xfId="0" applyFont="1" applyFill="1" applyBorder="1" applyAlignment="1">
      <alignment horizontal="center" vertical="center"/>
    </xf>
    <xf numFmtId="0" fontId="12" fillId="0" borderId="45" xfId="0" applyFont="1" applyBorder="1" applyAlignment="1" applyProtection="1">
      <alignment horizontal="center" vertical="center" wrapText="1"/>
      <protection locked="0"/>
    </xf>
    <xf numFmtId="0" fontId="12" fillId="0" borderId="46"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12" fillId="6" borderId="46" xfId="0" applyFont="1" applyFill="1" applyBorder="1" applyAlignment="1">
      <alignment horizontal="center" vertical="center"/>
    </xf>
    <xf numFmtId="0" fontId="23" fillId="0" borderId="89" xfId="0" applyFont="1" applyBorder="1" applyAlignment="1" applyProtection="1">
      <alignment vertical="center" wrapText="1"/>
      <protection hidden="1"/>
    </xf>
    <xf numFmtId="0" fontId="16" fillId="0" borderId="30" xfId="0" applyFont="1" applyBorder="1"/>
    <xf numFmtId="3" fontId="12" fillId="0" borderId="8" xfId="3" applyNumberFormat="1" applyFont="1" applyFill="1" applyBorder="1" applyAlignment="1" applyProtection="1">
      <alignment horizontal="center" vertical="center"/>
      <protection locked="0"/>
    </xf>
    <xf numFmtId="3" fontId="12" fillId="0" borderId="9" xfId="3" applyNumberFormat="1" applyFont="1" applyFill="1" applyBorder="1" applyAlignment="1" applyProtection="1">
      <alignment horizontal="center" vertical="center"/>
      <protection locked="0"/>
    </xf>
    <xf numFmtId="0" fontId="41" fillId="0" borderId="97" xfId="0" applyFont="1" applyBorder="1" applyAlignment="1">
      <alignment horizontal="center" vertical="center" wrapText="1"/>
    </xf>
    <xf numFmtId="0" fontId="12" fillId="0" borderId="14" xfId="0" applyFont="1" applyBorder="1" applyAlignment="1" applyProtection="1">
      <alignment horizontal="center" vertical="center"/>
      <protection locked="0"/>
    </xf>
    <xf numFmtId="0" fontId="21" fillId="6" borderId="26" xfId="0" applyFont="1" applyFill="1" applyBorder="1" applyAlignment="1">
      <alignment horizontal="center" vertical="center" wrapText="1"/>
    </xf>
    <xf numFmtId="0" fontId="21" fillId="6" borderId="57"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6" borderId="28" xfId="0" applyFont="1" applyFill="1" applyBorder="1" applyAlignment="1">
      <alignment horizontal="center" vertical="center" wrapText="1"/>
    </xf>
    <xf numFmtId="0" fontId="21" fillId="6" borderId="47" xfId="0" applyFont="1" applyFill="1" applyBorder="1" applyAlignment="1">
      <alignment horizontal="center" vertical="center" wrapText="1"/>
    </xf>
    <xf numFmtId="0" fontId="21" fillId="6" borderId="29" xfId="0" applyFont="1" applyFill="1" applyBorder="1" applyAlignment="1">
      <alignment horizontal="center" vertical="center" wrapText="1"/>
    </xf>
    <xf numFmtId="0" fontId="22" fillId="0" borderId="10" xfId="0"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164" fontId="12" fillId="0" borderId="37" xfId="1" applyNumberFormat="1" applyFont="1" applyFill="1" applyBorder="1" applyAlignment="1" applyProtection="1">
      <alignment horizontal="center" vertical="center"/>
      <protection locked="0" hidden="1"/>
    </xf>
    <xf numFmtId="3" fontId="12" fillId="0" borderId="38" xfId="1" applyNumberFormat="1" applyFont="1" applyFill="1" applyBorder="1" applyAlignment="1" applyProtection="1">
      <alignment horizontal="center" vertical="center"/>
      <protection locked="0" hidden="1"/>
    </xf>
    <xf numFmtId="0" fontId="12" fillId="0" borderId="23" xfId="0" applyFont="1" applyBorder="1" applyAlignment="1" applyProtection="1">
      <alignment horizontal="left" vertical="center" wrapText="1" indent="1"/>
      <protection locked="0"/>
    </xf>
    <xf numFmtId="0" fontId="22" fillId="0" borderId="11" xfId="0" applyFont="1" applyBorder="1" applyAlignment="1" applyProtection="1">
      <alignment horizontal="center" vertical="center"/>
      <protection locked="0"/>
    </xf>
    <xf numFmtId="0" fontId="12" fillId="0" borderId="59" xfId="0" applyFont="1" applyBorder="1" applyAlignment="1" applyProtection="1">
      <alignment horizontal="center" vertical="center"/>
      <protection locked="0"/>
    </xf>
    <xf numFmtId="164" fontId="12" fillId="0" borderId="35" xfId="1" applyNumberFormat="1" applyFont="1" applyFill="1" applyBorder="1" applyAlignment="1" applyProtection="1">
      <alignment horizontal="center" vertical="center"/>
      <protection locked="0" hidden="1"/>
    </xf>
    <xf numFmtId="3" fontId="12" fillId="0" borderId="36" xfId="1" applyNumberFormat="1" applyFont="1" applyFill="1" applyBorder="1" applyAlignment="1" applyProtection="1">
      <alignment horizontal="center" vertical="center"/>
      <protection locked="0" hidden="1"/>
    </xf>
    <xf numFmtId="0" fontId="12" fillId="0" borderId="19" xfId="0" applyFont="1" applyBorder="1" applyAlignment="1" applyProtection="1">
      <alignment horizontal="left" vertical="center" wrapText="1" indent="1"/>
      <protection locked="0"/>
    </xf>
    <xf numFmtId="0" fontId="22" fillId="0" borderId="41" xfId="0" applyFont="1" applyBorder="1" applyAlignment="1" applyProtection="1">
      <alignment horizontal="center" vertical="center"/>
      <protection locked="0"/>
    </xf>
    <xf numFmtId="0" fontId="12" fillId="0" borderId="60" xfId="0" applyFont="1"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12" fillId="0" borderId="43" xfId="0" applyFont="1" applyBorder="1" applyAlignment="1" applyProtection="1">
      <alignment horizontal="left" vertical="center" wrapText="1" indent="1"/>
      <protection locked="0"/>
    </xf>
    <xf numFmtId="0" fontId="22" fillId="0" borderId="9"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164" fontId="12" fillId="0" borderId="39" xfId="1" applyNumberFormat="1" applyFont="1" applyFill="1" applyBorder="1" applyAlignment="1" applyProtection="1">
      <alignment horizontal="center" vertical="center"/>
      <protection locked="0" hidden="1"/>
    </xf>
    <xf numFmtId="3" fontId="12" fillId="0" borderId="20" xfId="1" applyNumberFormat="1" applyFont="1" applyFill="1" applyBorder="1" applyAlignment="1" applyProtection="1">
      <alignment horizontal="center" vertical="center"/>
      <protection locked="0" hidden="1"/>
    </xf>
    <xf numFmtId="0" fontId="12" fillId="0" borderId="20"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21" xfId="0" applyFont="1" applyBorder="1" applyAlignment="1" applyProtection="1">
      <alignment horizontal="left" vertical="center" wrapText="1" indent="1"/>
      <protection locked="0"/>
    </xf>
    <xf numFmtId="0" fontId="34" fillId="0" borderId="0" xfId="0" applyFont="1" applyAlignment="1">
      <alignment vertical="center"/>
    </xf>
    <xf numFmtId="0" fontId="32" fillId="6" borderId="24" xfId="0" applyFont="1" applyFill="1" applyBorder="1" applyAlignment="1">
      <alignment horizontal="center" vertical="center" wrapText="1"/>
    </xf>
    <xf numFmtId="0" fontId="32" fillId="6" borderId="26" xfId="0" applyFont="1" applyFill="1" applyBorder="1" applyAlignment="1">
      <alignment horizontal="center" vertical="center" wrapText="1"/>
    </xf>
    <xf numFmtId="0" fontId="22" fillId="6" borderId="25" xfId="0" applyFont="1" applyFill="1" applyBorder="1" applyAlignment="1">
      <alignment horizontal="center" vertical="center"/>
    </xf>
    <xf numFmtId="1" fontId="12" fillId="0" borderId="25" xfId="0" applyNumberFormat="1" applyFont="1" applyBorder="1" applyAlignment="1" applyProtection="1">
      <alignment horizontal="center" vertical="center"/>
      <protection locked="0"/>
    </xf>
    <xf numFmtId="1" fontId="12" fillId="0" borderId="11" xfId="0" applyNumberFormat="1" applyFont="1" applyBorder="1" applyAlignment="1" applyProtection="1">
      <alignment horizontal="center" vertical="center"/>
      <protection locked="0"/>
    </xf>
    <xf numFmtId="1" fontId="12" fillId="0" borderId="9" xfId="0" applyNumberFormat="1"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hidden="1"/>
    </xf>
    <xf numFmtId="0" fontId="34" fillId="0" borderId="0" xfId="0" applyFont="1" applyAlignment="1">
      <alignment horizontal="left" vertical="center"/>
    </xf>
    <xf numFmtId="0" fontId="16" fillId="0" borderId="7" xfId="0" applyFont="1" applyBorder="1"/>
    <xf numFmtId="0" fontId="12" fillId="6" borderId="35" xfId="0" applyFont="1" applyFill="1" applyBorder="1" applyAlignment="1" applyProtection="1">
      <alignment horizontal="left" indent="1"/>
      <protection hidden="1"/>
    </xf>
    <xf numFmtId="0" fontId="12" fillId="6" borderId="48" xfId="0" applyFont="1" applyFill="1" applyBorder="1" applyProtection="1">
      <protection hidden="1"/>
    </xf>
    <xf numFmtId="0" fontId="12" fillId="6" borderId="49" xfId="0" applyFont="1" applyFill="1" applyBorder="1" applyAlignment="1" applyProtection="1">
      <alignment horizontal="left" indent="1"/>
      <protection hidden="1"/>
    </xf>
    <xf numFmtId="0" fontId="12" fillId="6" borderId="50" xfId="0" applyFont="1" applyFill="1" applyBorder="1" applyProtection="1">
      <protection hidden="1"/>
    </xf>
    <xf numFmtId="0" fontId="43" fillId="6" borderId="49" xfId="0" applyFont="1" applyFill="1" applyBorder="1" applyAlignment="1" applyProtection="1">
      <alignment horizontal="left" indent="1"/>
      <protection hidden="1"/>
    </xf>
    <xf numFmtId="0" fontId="12" fillId="6" borderId="54" xfId="0" applyFont="1" applyFill="1" applyBorder="1" applyAlignment="1" applyProtection="1">
      <alignment horizontal="left" indent="1"/>
      <protection hidden="1"/>
    </xf>
    <xf numFmtId="0" fontId="32" fillId="6" borderId="24" xfId="0" applyFont="1" applyFill="1" applyBorder="1" applyAlignment="1" applyProtection="1">
      <alignment horizontal="left" vertical="center" indent="1"/>
      <protection hidden="1"/>
    </xf>
    <xf numFmtId="0" fontId="32" fillId="6" borderId="47" xfId="0" applyFont="1" applyFill="1" applyBorder="1" applyAlignment="1" applyProtection="1">
      <alignment vertical="center"/>
      <protection hidden="1"/>
    </xf>
    <xf numFmtId="0" fontId="32" fillId="6" borderId="27" xfId="0" applyFont="1" applyFill="1" applyBorder="1" applyAlignment="1">
      <alignment horizontal="center" vertical="center"/>
    </xf>
    <xf numFmtId="0" fontId="32" fillId="6" borderId="28" xfId="0" applyFont="1" applyFill="1" applyBorder="1" applyAlignment="1">
      <alignment horizontal="center" vertical="center"/>
    </xf>
    <xf numFmtId="0" fontId="16" fillId="0" borderId="56" xfId="0" applyFont="1" applyBorder="1"/>
    <xf numFmtId="0" fontId="32" fillId="6" borderId="56" xfId="0" applyFont="1" applyFill="1" applyBorder="1" applyAlignment="1" applyProtection="1">
      <alignment horizontal="left" vertical="center" indent="1"/>
      <protection hidden="1"/>
    </xf>
    <xf numFmtId="0" fontId="32" fillId="6" borderId="87" xfId="0" applyFont="1" applyFill="1" applyBorder="1" applyAlignment="1" applyProtection="1">
      <alignment vertical="center"/>
      <protection hidden="1"/>
    </xf>
    <xf numFmtId="0" fontId="32" fillId="6" borderId="110" xfId="0" applyFont="1" applyFill="1" applyBorder="1" applyAlignment="1" applyProtection="1">
      <alignment vertical="center"/>
      <protection hidden="1"/>
    </xf>
    <xf numFmtId="0" fontId="32" fillId="6" borderId="104" xfId="0" applyFont="1" applyFill="1" applyBorder="1" applyAlignment="1">
      <alignment horizontal="center" vertical="center"/>
    </xf>
    <xf numFmtId="0" fontId="32" fillId="6" borderId="109" xfId="0" applyFont="1" applyFill="1" applyBorder="1" applyAlignment="1">
      <alignment horizontal="center" vertical="center"/>
    </xf>
    <xf numFmtId="9" fontId="12" fillId="0" borderId="79" xfId="3" applyFont="1" applyFill="1" applyBorder="1" applyAlignment="1" applyProtection="1">
      <alignment horizontal="center" vertical="center"/>
      <protection locked="0"/>
    </xf>
    <xf numFmtId="3" fontId="12" fillId="6" borderId="55" xfId="1" applyNumberFormat="1" applyFont="1" applyFill="1" applyBorder="1" applyAlignment="1" applyProtection="1">
      <alignment horizontal="center" vertical="center"/>
    </xf>
    <xf numFmtId="3" fontId="12" fillId="6" borderId="18" xfId="0" applyNumberFormat="1" applyFont="1" applyFill="1" applyBorder="1"/>
    <xf numFmtId="0" fontId="32" fillId="6" borderId="85" xfId="0" applyFont="1" applyFill="1" applyBorder="1" applyAlignment="1" applyProtection="1">
      <alignment horizontal="left" vertical="center" indent="1"/>
      <protection hidden="1"/>
    </xf>
    <xf numFmtId="0" fontId="12" fillId="6" borderId="87" xfId="0" applyFont="1" applyFill="1" applyBorder="1" applyProtection="1">
      <protection hidden="1"/>
    </xf>
    <xf numFmtId="3" fontId="12" fillId="6" borderId="111" xfId="0" applyNumberFormat="1" applyFont="1" applyFill="1" applyBorder="1" applyAlignment="1">
      <alignment horizontal="center"/>
    </xf>
    <xf numFmtId="3" fontId="12" fillId="6" borderId="110" xfId="0" applyNumberFormat="1" applyFont="1" applyFill="1" applyBorder="1" applyAlignment="1">
      <alignment horizontal="center"/>
    </xf>
    <xf numFmtId="9" fontId="12" fillId="6" borderId="36" xfId="3" applyFont="1" applyFill="1" applyBorder="1" applyAlignment="1">
      <alignment horizontal="center"/>
    </xf>
    <xf numFmtId="38" fontId="12" fillId="6" borderId="71" xfId="1" applyNumberFormat="1" applyFont="1" applyFill="1" applyBorder="1" applyAlignment="1" applyProtection="1">
      <alignment horizontal="center" vertical="center"/>
    </xf>
    <xf numFmtId="38" fontId="12" fillId="6" borderId="22" xfId="0" applyNumberFormat="1" applyFont="1" applyFill="1" applyBorder="1" applyAlignment="1">
      <alignment horizontal="center"/>
    </xf>
    <xf numFmtId="9" fontId="12" fillId="6" borderId="59" xfId="3" applyFont="1" applyFill="1" applyBorder="1" applyAlignment="1">
      <alignment horizontal="center"/>
    </xf>
    <xf numFmtId="38" fontId="12" fillId="6" borderId="17" xfId="1" applyNumberFormat="1" applyFont="1" applyFill="1" applyBorder="1" applyAlignment="1" applyProtection="1">
      <alignment horizontal="center" vertical="center"/>
    </xf>
    <xf numFmtId="38" fontId="12" fillId="6" borderId="18" xfId="0" applyNumberFormat="1" applyFont="1" applyFill="1" applyBorder="1" applyAlignment="1">
      <alignment horizontal="center"/>
    </xf>
    <xf numFmtId="9" fontId="12" fillId="0" borderId="59" xfId="3" applyFont="1" applyFill="1" applyBorder="1" applyAlignment="1" applyProtection="1">
      <alignment horizontal="center" vertical="center"/>
      <protection locked="0"/>
    </xf>
    <xf numFmtId="38" fontId="12" fillId="6" borderId="18" xfId="1" applyNumberFormat="1" applyFont="1" applyFill="1" applyBorder="1" applyAlignment="1" applyProtection="1">
      <alignment horizontal="center" vertical="center"/>
    </xf>
    <xf numFmtId="0" fontId="12" fillId="6" borderId="52" xfId="0" applyFont="1" applyFill="1" applyBorder="1" applyAlignment="1" applyProtection="1">
      <alignment horizontal="left" indent="1"/>
      <protection hidden="1"/>
    </xf>
    <xf numFmtId="38" fontId="12" fillId="6" borderId="72" xfId="1" applyNumberFormat="1" applyFont="1" applyFill="1" applyBorder="1" applyAlignment="1" applyProtection="1">
      <alignment horizontal="center" vertical="center"/>
    </xf>
    <xf numFmtId="0" fontId="32" fillId="6" borderId="51" xfId="0" applyFont="1" applyFill="1" applyBorder="1" applyAlignment="1" applyProtection="1">
      <alignment horizontal="left" vertical="center" indent="1"/>
      <protection hidden="1"/>
    </xf>
    <xf numFmtId="0" fontId="12" fillId="6" borderId="7" xfId="0" applyFont="1" applyFill="1" applyBorder="1" applyAlignment="1" applyProtection="1">
      <alignment vertical="center"/>
      <protection hidden="1"/>
    </xf>
    <xf numFmtId="38" fontId="12" fillId="6" borderId="44" xfId="0" applyNumberFormat="1" applyFont="1" applyFill="1" applyBorder="1" applyAlignment="1">
      <alignment horizontal="center" vertical="center"/>
    </xf>
    <xf numFmtId="38" fontId="12" fillId="6" borderId="45" xfId="0" applyNumberFormat="1" applyFont="1" applyFill="1" applyBorder="1" applyAlignment="1">
      <alignment horizontal="center" vertical="center"/>
    </xf>
    <xf numFmtId="0" fontId="16" fillId="0" borderId="56" xfId="0" applyFont="1" applyBorder="1" applyAlignment="1">
      <alignment vertical="center"/>
    </xf>
    <xf numFmtId="0" fontId="16" fillId="0" borderId="0" xfId="0" applyFont="1" applyAlignment="1" applyProtection="1">
      <alignment horizontal="left" indent="1"/>
      <protection hidden="1"/>
    </xf>
    <xf numFmtId="0" fontId="16" fillId="0" borderId="0" xfId="0" applyFont="1" applyProtection="1">
      <protection hidden="1"/>
    </xf>
    <xf numFmtId="0" fontId="32" fillId="6" borderId="62" xfId="0" applyFont="1" applyFill="1" applyBorder="1" applyAlignment="1" applyProtection="1">
      <alignment vertical="center"/>
      <protection hidden="1"/>
    </xf>
    <xf numFmtId="0" fontId="32" fillId="6" borderId="34" xfId="0" applyFont="1" applyFill="1" applyBorder="1" applyAlignment="1">
      <alignment horizontal="center" vertical="center"/>
    </xf>
    <xf numFmtId="0" fontId="32" fillId="6" borderId="112" xfId="0" applyFont="1" applyFill="1" applyBorder="1" applyAlignment="1" applyProtection="1">
      <alignment horizontal="left" vertical="center" indent="1"/>
      <protection hidden="1"/>
    </xf>
    <xf numFmtId="0" fontId="32" fillId="6" borderId="101" xfId="0" applyFont="1" applyFill="1" applyBorder="1" applyAlignment="1" applyProtection="1">
      <alignment vertical="center"/>
      <protection hidden="1"/>
    </xf>
    <xf numFmtId="0" fontId="32" fillId="6" borderId="79" xfId="0" applyFont="1" applyFill="1" applyBorder="1" applyAlignment="1">
      <alignment horizontal="center" vertical="center"/>
    </xf>
    <xf numFmtId="0" fontId="12" fillId="6" borderId="38" xfId="0" applyFont="1" applyFill="1" applyBorder="1" applyProtection="1">
      <protection hidden="1"/>
    </xf>
    <xf numFmtId="38" fontId="12" fillId="6" borderId="37" xfId="0" applyNumberFormat="1" applyFont="1" applyFill="1" applyBorder="1" applyAlignment="1">
      <alignment horizontal="center" vertical="center"/>
    </xf>
    <xf numFmtId="38" fontId="12" fillId="6" borderId="55" xfId="0" applyNumberFormat="1" applyFont="1" applyFill="1" applyBorder="1" applyAlignment="1">
      <alignment horizontal="center" vertical="center"/>
    </xf>
    <xf numFmtId="0" fontId="12" fillId="6" borderId="58" xfId="0" applyFont="1" applyFill="1" applyBorder="1" applyProtection="1">
      <protection hidden="1"/>
    </xf>
    <xf numFmtId="0" fontId="12" fillId="6" borderId="74" xfId="0" applyFont="1" applyFill="1" applyBorder="1" applyProtection="1">
      <protection hidden="1"/>
    </xf>
    <xf numFmtId="0" fontId="32" fillId="6" borderId="112" xfId="0" applyFont="1" applyFill="1" applyBorder="1" applyAlignment="1" applyProtection="1">
      <alignment horizontal="left" indent="1"/>
      <protection hidden="1"/>
    </xf>
    <xf numFmtId="0" fontId="12" fillId="6" borderId="113" xfId="0" applyFont="1" applyFill="1" applyBorder="1" applyProtection="1">
      <protection hidden="1"/>
    </xf>
    <xf numFmtId="38" fontId="12" fillId="6" borderId="114" xfId="0" applyNumberFormat="1" applyFont="1" applyFill="1" applyBorder="1" applyAlignment="1">
      <alignment horizontal="center"/>
    </xf>
    <xf numFmtId="38" fontId="12" fillId="6" borderId="115" xfId="0" applyNumberFormat="1" applyFont="1" applyFill="1" applyBorder="1" applyAlignment="1">
      <alignment horizontal="center"/>
    </xf>
    <xf numFmtId="38" fontId="12" fillId="6" borderId="116" xfId="0" applyNumberFormat="1" applyFont="1" applyFill="1" applyBorder="1" applyAlignment="1">
      <alignment horizontal="center"/>
    </xf>
    <xf numFmtId="38" fontId="12" fillId="6" borderId="22" xfId="1" applyNumberFormat="1" applyFont="1" applyFill="1" applyBorder="1" applyAlignment="1" applyProtection="1">
      <alignment horizontal="center" vertical="center"/>
    </xf>
    <xf numFmtId="0" fontId="12" fillId="6" borderId="7" xfId="0" applyFont="1" applyFill="1" applyBorder="1" applyAlignment="1" applyProtection="1">
      <alignment horizontal="right" vertical="center"/>
      <protection hidden="1"/>
    </xf>
    <xf numFmtId="38" fontId="12" fillId="6" borderId="61" xfId="0" applyNumberFormat="1" applyFont="1" applyFill="1" applyBorder="1" applyAlignment="1">
      <alignment horizontal="center" vertical="center"/>
    </xf>
    <xf numFmtId="0" fontId="16" fillId="8" borderId="0" xfId="0" applyFont="1" applyFill="1"/>
    <xf numFmtId="14" fontId="16" fillId="8" borderId="0" xfId="0" applyNumberFormat="1" applyFont="1" applyFill="1"/>
    <xf numFmtId="9" fontId="16" fillId="8" borderId="0" xfId="0" applyNumberFormat="1" applyFont="1" applyFill="1"/>
    <xf numFmtId="9" fontId="16" fillId="0" borderId="0" xfId="0" applyNumberFormat="1" applyFont="1"/>
    <xf numFmtId="1" fontId="16" fillId="8" borderId="0" xfId="0" applyNumberFormat="1" applyFont="1" applyFill="1"/>
    <xf numFmtId="0" fontId="25" fillId="0" borderId="0" xfId="0" applyFont="1" applyAlignment="1">
      <alignment vertical="top" wrapText="1"/>
    </xf>
    <xf numFmtId="38" fontId="12" fillId="0" borderId="50" xfId="1" applyNumberFormat="1" applyFont="1" applyFill="1" applyBorder="1" applyAlignment="1" applyProtection="1">
      <alignment horizontal="center" vertical="center"/>
      <protection locked="0"/>
    </xf>
    <xf numFmtId="9" fontId="12" fillId="6" borderId="86" xfId="3" applyFont="1" applyFill="1" applyBorder="1" applyAlignment="1">
      <alignment horizontal="center"/>
    </xf>
    <xf numFmtId="9" fontId="32" fillId="6" borderId="116" xfId="3" applyFont="1" applyFill="1" applyBorder="1" applyAlignment="1">
      <alignment horizontal="center"/>
    </xf>
    <xf numFmtId="0" fontId="38" fillId="6" borderId="35" xfId="0" applyFont="1" applyFill="1" applyBorder="1" applyAlignment="1" applyProtection="1">
      <alignment vertical="center" wrapText="1"/>
      <protection hidden="1"/>
    </xf>
    <xf numFmtId="0" fontId="38" fillId="6" borderId="49" xfId="0" applyFont="1" applyFill="1" applyBorder="1" applyAlignment="1" applyProtection="1">
      <alignment vertical="center" wrapText="1"/>
      <protection hidden="1"/>
    </xf>
    <xf numFmtId="0" fontId="38" fillId="6" borderId="39" xfId="0" applyFont="1" applyFill="1" applyBorder="1" applyAlignment="1" applyProtection="1">
      <alignment vertical="center" wrapText="1"/>
      <protection hidden="1"/>
    </xf>
    <xf numFmtId="3" fontId="12" fillId="0" borderId="8" xfId="0" applyNumberFormat="1" applyFont="1" applyBorder="1" applyAlignment="1" applyProtection="1">
      <alignment horizontal="center" vertical="center"/>
      <protection locked="0"/>
    </xf>
    <xf numFmtId="3" fontId="12" fillId="0" borderId="11" xfId="0" applyNumberFormat="1" applyFont="1" applyBorder="1" applyAlignment="1" applyProtection="1">
      <alignment horizontal="center" vertical="center"/>
      <protection locked="0"/>
    </xf>
    <xf numFmtId="3" fontId="12" fillId="0" borderId="9" xfId="0" applyNumberFormat="1" applyFont="1" applyBorder="1" applyAlignment="1" applyProtection="1">
      <alignment horizontal="center" vertical="center"/>
      <protection locked="0"/>
    </xf>
    <xf numFmtId="0" fontId="12" fillId="0" borderId="0" xfId="0" applyFont="1" applyAlignment="1">
      <alignment horizontal="center" vertical="center" wrapText="1"/>
    </xf>
    <xf numFmtId="0" fontId="12" fillId="0" borderId="0" xfId="0" applyFont="1" applyAlignment="1">
      <alignment horizontal="center" vertical="center"/>
    </xf>
    <xf numFmtId="0" fontId="32" fillId="0" borderId="0" xfId="0" applyFont="1" applyAlignment="1" applyProtection="1">
      <alignment horizontal="right" vertical="center" wrapText="1"/>
      <protection hidden="1"/>
    </xf>
    <xf numFmtId="164" fontId="12" fillId="6" borderId="46" xfId="0" applyNumberFormat="1" applyFont="1" applyFill="1" applyBorder="1" applyAlignment="1">
      <alignment vertical="center"/>
    </xf>
    <xf numFmtId="38" fontId="12" fillId="0" borderId="72" xfId="1" applyNumberFormat="1" applyFont="1" applyFill="1" applyBorder="1" applyAlignment="1" applyProtection="1">
      <alignment horizontal="center" vertical="center"/>
      <protection locked="0"/>
    </xf>
    <xf numFmtId="38" fontId="12" fillId="0" borderId="53" xfId="1" applyNumberFormat="1" applyFont="1" applyFill="1" applyBorder="1" applyAlignment="1" applyProtection="1">
      <alignment horizontal="center" vertical="center"/>
      <protection locked="0"/>
    </xf>
    <xf numFmtId="38" fontId="16" fillId="0" borderId="0" xfId="0" applyNumberFormat="1" applyFont="1"/>
    <xf numFmtId="164" fontId="22" fillId="6" borderId="2" xfId="1" applyNumberFormat="1" applyFont="1" applyFill="1" applyBorder="1" applyAlignment="1" applyProtection="1">
      <alignment vertical="center"/>
      <protection hidden="1"/>
    </xf>
    <xf numFmtId="9" fontId="12" fillId="6" borderId="19" xfId="3" applyFont="1" applyFill="1" applyBorder="1"/>
    <xf numFmtId="9" fontId="12" fillId="6" borderId="23" xfId="3" applyFont="1" applyFill="1" applyBorder="1"/>
    <xf numFmtId="9" fontId="12" fillId="6" borderId="110" xfId="3" applyFont="1" applyFill="1" applyBorder="1"/>
    <xf numFmtId="165" fontId="12" fillId="0" borderId="9" xfId="0" applyNumberFormat="1" applyFont="1" applyBorder="1" applyAlignment="1" applyProtection="1">
      <alignment horizontal="center" vertical="center"/>
      <protection locked="0"/>
    </xf>
    <xf numFmtId="9" fontId="12" fillId="0" borderId="9" xfId="0" applyNumberFormat="1" applyFont="1" applyBorder="1" applyAlignment="1" applyProtection="1">
      <alignment horizontal="center" vertical="center"/>
      <protection locked="0"/>
    </xf>
    <xf numFmtId="165" fontId="12" fillId="0" borderId="8" xfId="3" applyNumberFormat="1" applyFont="1" applyFill="1" applyBorder="1" applyAlignment="1" applyProtection="1">
      <alignment horizontal="center" vertical="center"/>
      <protection locked="0"/>
    </xf>
    <xf numFmtId="165" fontId="22" fillId="6" borderId="9" xfId="0" applyNumberFormat="1" applyFont="1" applyFill="1" applyBorder="1" applyAlignment="1" applyProtection="1">
      <alignment horizontal="center" vertical="center"/>
      <protection hidden="1"/>
    </xf>
    <xf numFmtId="165" fontId="22" fillId="6" borderId="8" xfId="0" applyNumberFormat="1" applyFont="1" applyFill="1" applyBorder="1" applyAlignment="1" applyProtection="1">
      <alignment horizontal="center" vertical="center"/>
      <protection hidden="1"/>
    </xf>
    <xf numFmtId="0" fontId="23" fillId="6" borderId="50" xfId="0" applyFont="1" applyFill="1" applyBorder="1" applyProtection="1">
      <protection hidden="1"/>
    </xf>
    <xf numFmtId="3" fontId="16" fillId="8" borderId="0" xfId="0" applyNumberFormat="1" applyFont="1" applyFill="1"/>
    <xf numFmtId="0" fontId="23" fillId="6" borderId="13" xfId="0" applyFont="1" applyFill="1" applyBorder="1" applyProtection="1">
      <protection hidden="1"/>
    </xf>
    <xf numFmtId="0" fontId="22" fillId="6" borderId="49" xfId="0" applyFont="1" applyFill="1" applyBorder="1" applyAlignment="1" applyProtection="1">
      <alignment horizontal="left" indent="1"/>
      <protection hidden="1"/>
    </xf>
    <xf numFmtId="38" fontId="22" fillId="0" borderId="50" xfId="1" applyNumberFormat="1" applyFont="1" applyFill="1" applyBorder="1" applyAlignment="1" applyProtection="1">
      <alignment horizontal="center" vertical="center"/>
      <protection locked="0"/>
    </xf>
    <xf numFmtId="0" fontId="16" fillId="0" borderId="0" xfId="0" applyFont="1" applyAlignment="1">
      <alignment horizontal="center"/>
    </xf>
    <xf numFmtId="164" fontId="22" fillId="6" borderId="2" xfId="1" applyNumberFormat="1" applyFont="1" applyFill="1" applyBorder="1" applyAlignment="1">
      <alignment horizontal="center" vertical="center"/>
    </xf>
    <xf numFmtId="38" fontId="22" fillId="6" borderId="2" xfId="0" applyNumberFormat="1" applyFont="1" applyFill="1" applyBorder="1" applyAlignment="1">
      <alignment horizontal="right" vertical="center"/>
    </xf>
    <xf numFmtId="0" fontId="12" fillId="0" borderId="9" xfId="0" applyFont="1" applyBorder="1" applyAlignment="1" applyProtection="1">
      <alignment horizontal="center" vertical="center" wrapText="1"/>
      <protection locked="0"/>
    </xf>
    <xf numFmtId="0" fontId="21" fillId="6" borderId="2" xfId="0" applyFont="1" applyFill="1" applyBorder="1" applyAlignment="1">
      <alignment horizontal="center" vertical="center" wrapText="1"/>
    </xf>
    <xf numFmtId="0" fontId="32" fillId="6" borderId="57" xfId="0" applyFont="1" applyFill="1" applyBorder="1" applyAlignment="1">
      <alignment vertical="center"/>
    </xf>
    <xf numFmtId="0" fontId="32" fillId="6" borderId="62" xfId="0" applyFont="1" applyFill="1" applyBorder="1" applyAlignment="1">
      <alignment horizontal="center" vertical="center"/>
    </xf>
    <xf numFmtId="0" fontId="16" fillId="6" borderId="7" xfId="0" applyFont="1" applyFill="1" applyBorder="1" applyAlignment="1">
      <alignment vertical="center"/>
    </xf>
    <xf numFmtId="0" fontId="12" fillId="6" borderId="67" xfId="0" applyFont="1" applyFill="1" applyBorder="1" applyAlignment="1">
      <alignment vertical="center"/>
    </xf>
    <xf numFmtId="0" fontId="12" fillId="6" borderId="68" xfId="0" applyFont="1" applyFill="1" applyBorder="1" applyAlignment="1">
      <alignment vertical="center"/>
    </xf>
    <xf numFmtId="0" fontId="32" fillId="6" borderId="24" xfId="0" applyFont="1" applyFill="1" applyBorder="1" applyAlignment="1">
      <alignment horizontal="left" vertical="center" indent="1"/>
    </xf>
    <xf numFmtId="0" fontId="32" fillId="6" borderId="64" xfId="0" applyFont="1" applyFill="1" applyBorder="1" applyAlignment="1" applyProtection="1">
      <alignment horizontal="left" vertical="center" indent="1"/>
      <protection hidden="1"/>
    </xf>
    <xf numFmtId="0" fontId="32" fillId="0" borderId="35" xfId="0" applyFont="1" applyBorder="1" applyAlignment="1" applyProtection="1">
      <alignment horizontal="left" vertical="center" indent="1"/>
      <protection hidden="1"/>
    </xf>
    <xf numFmtId="0" fontId="32" fillId="0" borderId="58" xfId="0" applyFont="1" applyBorder="1" applyAlignment="1" applyProtection="1">
      <alignment vertical="center"/>
      <protection hidden="1"/>
    </xf>
    <xf numFmtId="0" fontId="12" fillId="0" borderId="49" xfId="0" applyFont="1" applyBorder="1" applyAlignment="1" applyProtection="1">
      <alignment horizontal="left" vertical="center"/>
      <protection hidden="1"/>
    </xf>
    <xf numFmtId="0" fontId="16" fillId="0" borderId="48" xfId="0" applyFont="1" applyBorder="1" applyAlignment="1">
      <alignment vertical="center"/>
    </xf>
    <xf numFmtId="0" fontId="16" fillId="0" borderId="50" xfId="0" applyFont="1" applyBorder="1" applyAlignment="1">
      <alignment vertical="center"/>
    </xf>
    <xf numFmtId="0" fontId="12" fillId="0" borderId="39" xfId="0" applyFont="1" applyBorder="1" applyAlignment="1" applyProtection="1">
      <alignment horizontal="left" vertical="center"/>
      <protection hidden="1"/>
    </xf>
    <xf numFmtId="0" fontId="32" fillId="0" borderId="73" xfId="0" applyFont="1" applyBorder="1" applyAlignment="1" applyProtection="1">
      <alignment vertical="center"/>
      <protection hidden="1"/>
    </xf>
    <xf numFmtId="0" fontId="16" fillId="0" borderId="117" xfId="0" applyFont="1" applyBorder="1" applyAlignment="1">
      <alignment vertical="center"/>
    </xf>
    <xf numFmtId="0" fontId="23" fillId="0" borderId="0" xfId="0" applyFont="1" applyAlignment="1" applyProtection="1">
      <alignment vertical="center" wrapText="1"/>
      <protection hidden="1"/>
    </xf>
    <xf numFmtId="0" fontId="12" fillId="6" borderId="67" xfId="0" applyFont="1" applyFill="1" applyBorder="1" applyAlignment="1" applyProtection="1">
      <alignment vertical="center"/>
      <protection hidden="1"/>
    </xf>
    <xf numFmtId="0" fontId="16" fillId="6" borderId="65" xfId="0" applyFont="1" applyFill="1" applyBorder="1" applyAlignment="1">
      <alignment vertical="center"/>
    </xf>
    <xf numFmtId="0" fontId="32" fillId="0" borderId="39" xfId="0" applyFont="1" applyBorder="1" applyAlignment="1" applyProtection="1">
      <alignment horizontal="left" vertical="center" indent="1"/>
      <protection hidden="1"/>
    </xf>
    <xf numFmtId="0" fontId="16" fillId="6" borderId="4" xfId="0" applyFont="1" applyFill="1" applyBorder="1" applyAlignment="1">
      <alignment vertical="center"/>
    </xf>
    <xf numFmtId="0" fontId="12" fillId="0" borderId="35" xfId="0" applyFont="1" applyBorder="1" applyAlignment="1" applyProtection="1">
      <alignment horizontal="left" vertical="center"/>
      <protection hidden="1"/>
    </xf>
    <xf numFmtId="0" fontId="32" fillId="0" borderId="38" xfId="0" applyFont="1" applyBorder="1" applyAlignment="1" applyProtection="1">
      <alignment vertical="center"/>
      <protection hidden="1"/>
    </xf>
    <xf numFmtId="0" fontId="32" fillId="6" borderId="3" xfId="0" applyFont="1" applyFill="1" applyBorder="1" applyAlignment="1" applyProtection="1">
      <alignment horizontal="left" vertical="center" indent="1"/>
      <protection hidden="1"/>
    </xf>
    <xf numFmtId="0" fontId="12" fillId="6" borderId="4" xfId="0" applyFont="1" applyFill="1" applyBorder="1" applyAlignment="1" applyProtection="1">
      <alignment vertical="center"/>
      <protection hidden="1"/>
    </xf>
    <xf numFmtId="0" fontId="12" fillId="6" borderId="121" xfId="0" applyFont="1" applyFill="1" applyBorder="1" applyAlignment="1" applyProtection="1">
      <alignment vertical="center"/>
      <protection hidden="1"/>
    </xf>
    <xf numFmtId="0" fontId="32" fillId="0" borderId="117" xfId="0" applyFont="1" applyBorder="1" applyAlignment="1" applyProtection="1">
      <alignment horizontal="left" vertical="center"/>
      <protection hidden="1"/>
    </xf>
    <xf numFmtId="0" fontId="12" fillId="6" borderId="64" xfId="0" applyFont="1" applyFill="1" applyBorder="1" applyAlignment="1">
      <alignment vertical="center"/>
    </xf>
    <xf numFmtId="0" fontId="32" fillId="0" borderId="120" xfId="0" applyFont="1" applyBorder="1" applyAlignment="1" applyProtection="1">
      <alignment vertical="center"/>
      <protection hidden="1"/>
    </xf>
    <xf numFmtId="0" fontId="12" fillId="6" borderId="119" xfId="0" applyFont="1" applyFill="1" applyBorder="1" applyAlignment="1">
      <alignment horizontal="center" vertical="center"/>
    </xf>
    <xf numFmtId="0" fontId="32" fillId="0" borderId="119" xfId="0" applyFont="1" applyBorder="1" applyAlignment="1" applyProtection="1">
      <alignment vertical="center"/>
      <protection hidden="1"/>
    </xf>
    <xf numFmtId="0" fontId="12" fillId="0" borderId="125" xfId="0" applyFont="1" applyBorder="1" applyAlignment="1" applyProtection="1">
      <alignment horizontal="center" vertical="center"/>
      <protection locked="0"/>
    </xf>
    <xf numFmtId="0" fontId="12" fillId="0" borderId="126" xfId="0" applyFont="1" applyBorder="1" applyAlignment="1" applyProtection="1">
      <alignment horizontal="center" vertical="center"/>
      <protection locked="0"/>
    </xf>
    <xf numFmtId="0" fontId="34" fillId="6" borderId="127" xfId="0" applyFont="1" applyFill="1" applyBorder="1" applyAlignment="1">
      <alignment horizontal="center" vertical="center" wrapText="1"/>
    </xf>
    <xf numFmtId="0" fontId="32" fillId="6" borderId="30" xfId="0" applyFont="1" applyFill="1" applyBorder="1" applyAlignment="1">
      <alignment horizontal="center" vertical="center"/>
    </xf>
    <xf numFmtId="0" fontId="32" fillId="6" borderId="5" xfId="0" applyFont="1" applyFill="1" applyBorder="1" applyAlignment="1">
      <alignment horizontal="center" vertical="center"/>
    </xf>
    <xf numFmtId="0" fontId="32" fillId="6" borderId="77" xfId="0" applyFont="1" applyFill="1" applyBorder="1" applyAlignment="1">
      <alignment horizontal="center" vertical="center"/>
    </xf>
    <xf numFmtId="0" fontId="32" fillId="6" borderId="124" xfId="0" applyFont="1" applyFill="1" applyBorder="1" applyAlignment="1" applyProtection="1">
      <alignment horizontal="left" vertical="center" indent="1"/>
      <protection hidden="1"/>
    </xf>
    <xf numFmtId="0" fontId="32" fillId="6" borderId="119" xfId="0" applyFont="1" applyFill="1" applyBorder="1" applyAlignment="1" applyProtection="1">
      <alignment vertical="center"/>
      <protection hidden="1"/>
    </xf>
    <xf numFmtId="0" fontId="34" fillId="6" borderId="125" xfId="0" applyFont="1" applyFill="1" applyBorder="1" applyAlignment="1">
      <alignment horizontal="center" vertical="center" wrapText="1"/>
    </xf>
    <xf numFmtId="0" fontId="32" fillId="6" borderId="119" xfId="0" applyFont="1" applyFill="1" applyBorder="1" applyAlignment="1">
      <alignment horizontal="center" vertical="center"/>
    </xf>
    <xf numFmtId="165" fontId="32" fillId="6" borderId="66" xfId="0" applyNumberFormat="1" applyFont="1" applyFill="1" applyBorder="1" applyAlignment="1">
      <alignment horizontal="center" vertical="center"/>
    </xf>
    <xf numFmtId="0" fontId="32" fillId="0" borderId="119" xfId="0" applyFont="1" applyBorder="1" applyAlignment="1" applyProtection="1">
      <alignment horizontal="left" vertical="center"/>
      <protection hidden="1"/>
    </xf>
    <xf numFmtId="0" fontId="32" fillId="0" borderId="0" xfId="0" applyFont="1" applyAlignment="1">
      <alignment horizontal="center" vertical="center" wrapText="1"/>
    </xf>
    <xf numFmtId="165" fontId="12" fillId="0" borderId="2" xfId="0" applyNumberFormat="1" applyFont="1" applyBorder="1" applyAlignment="1" applyProtection="1">
      <alignment horizontal="center" vertical="center"/>
      <protection locked="0"/>
    </xf>
    <xf numFmtId="165" fontId="12" fillId="0" borderId="8" xfId="0" applyNumberFormat="1" applyFont="1" applyBorder="1" applyAlignment="1" applyProtection="1">
      <alignment horizontal="center" vertical="center"/>
      <protection locked="0"/>
    </xf>
    <xf numFmtId="165" fontId="12" fillId="0" borderId="11" xfId="0" applyNumberFormat="1" applyFont="1" applyBorder="1" applyAlignment="1" applyProtection="1">
      <alignment horizontal="center" vertical="center"/>
      <protection locked="0"/>
    </xf>
    <xf numFmtId="38" fontId="12" fillId="6" borderId="50" xfId="1" applyNumberFormat="1" applyFont="1" applyFill="1" applyBorder="1" applyAlignment="1" applyProtection="1">
      <alignment horizontal="center" vertical="center"/>
    </xf>
    <xf numFmtId="38" fontId="22" fillId="6" borderId="50" xfId="1" applyNumberFormat="1" applyFont="1" applyFill="1" applyBorder="1" applyAlignment="1" applyProtection="1">
      <alignment horizontal="center" vertical="center"/>
    </xf>
    <xf numFmtId="3" fontId="12" fillId="6" borderId="50" xfId="0" applyNumberFormat="1" applyFont="1" applyFill="1" applyBorder="1"/>
    <xf numFmtId="0" fontId="15" fillId="0" borderId="0" xfId="0" applyFont="1" applyAlignment="1">
      <alignment horizontal="right" wrapText="1" indent="1"/>
    </xf>
    <xf numFmtId="0" fontId="16" fillId="0" borderId="0" xfId="0" applyFont="1" applyAlignment="1">
      <alignment horizontal="right" indent="1"/>
    </xf>
    <xf numFmtId="0" fontId="30" fillId="0" borderId="0" xfId="0" applyFont="1" applyAlignment="1">
      <alignment horizontal="right" indent="1"/>
    </xf>
    <xf numFmtId="0" fontId="16" fillId="0" borderId="1" xfId="0" applyFont="1" applyBorder="1" applyAlignment="1">
      <alignment horizontal="right" indent="1"/>
    </xf>
    <xf numFmtId="0" fontId="32" fillId="0" borderId="0" xfId="0" applyFont="1" applyAlignment="1">
      <alignment horizontal="right" vertical="center" wrapText="1" indent="1"/>
    </xf>
    <xf numFmtId="0" fontId="16" fillId="0" borderId="0" xfId="0" applyFont="1" applyAlignment="1">
      <alignment horizontal="right" vertical="center" indent="1"/>
    </xf>
    <xf numFmtId="0" fontId="32" fillId="0" borderId="0" xfId="0" applyFont="1" applyAlignment="1">
      <alignment horizontal="right" vertical="center" indent="1"/>
    </xf>
    <xf numFmtId="0" fontId="16" fillId="0" borderId="0" xfId="0" applyFont="1" applyAlignment="1">
      <alignment horizontal="right" wrapText="1" indent="1"/>
    </xf>
    <xf numFmtId="38" fontId="16" fillId="8" borderId="0" xfId="0" applyNumberFormat="1" applyFont="1" applyFill="1"/>
    <xf numFmtId="0" fontId="32" fillId="0" borderId="6" xfId="0" applyFont="1" applyBorder="1" applyAlignment="1">
      <alignment horizontal="right" vertical="center" indent="1"/>
    </xf>
    <xf numFmtId="0" fontId="21" fillId="0" borderId="6" xfId="0" applyFont="1" applyBorder="1" applyAlignment="1">
      <alignment horizontal="right" vertical="center" indent="1"/>
    </xf>
    <xf numFmtId="0" fontId="21" fillId="0" borderId="0" xfId="0" applyFont="1" applyAlignment="1">
      <alignment horizontal="right" vertical="center" indent="1"/>
    </xf>
    <xf numFmtId="0" fontId="21" fillId="6" borderId="2" xfId="0" applyFont="1" applyFill="1" applyBorder="1" applyAlignment="1">
      <alignment horizontal="right" vertical="center" wrapText="1" indent="1"/>
    </xf>
    <xf numFmtId="165" fontId="12" fillId="0" borderId="38" xfId="1" applyNumberFormat="1" applyFont="1" applyFill="1" applyBorder="1" applyAlignment="1" applyProtection="1">
      <alignment horizontal="center" vertical="center"/>
      <protection locked="0"/>
    </xf>
    <xf numFmtId="165" fontId="12" fillId="0" borderId="7" xfId="1" applyNumberFormat="1" applyFont="1" applyFill="1" applyBorder="1" applyAlignment="1" applyProtection="1">
      <alignment horizontal="center" vertical="center"/>
      <protection locked="0"/>
    </xf>
    <xf numFmtId="165" fontId="12" fillId="0" borderId="123" xfId="1" applyNumberFormat="1" applyFont="1" applyFill="1" applyBorder="1" applyAlignment="1" applyProtection="1">
      <alignment horizontal="center" vertical="center"/>
      <protection locked="0"/>
    </xf>
    <xf numFmtId="165" fontId="12" fillId="0" borderId="118" xfId="1" applyNumberFormat="1" applyFont="1" applyFill="1" applyBorder="1" applyAlignment="1" applyProtection="1">
      <alignment horizontal="center" vertical="center"/>
      <protection locked="0"/>
    </xf>
    <xf numFmtId="165" fontId="12" fillId="0" borderId="58" xfId="1" applyNumberFormat="1" applyFont="1" applyFill="1" applyBorder="1" applyAlignment="1" applyProtection="1">
      <alignment horizontal="center" vertical="center"/>
      <protection locked="0"/>
    </xf>
    <xf numFmtId="165" fontId="12" fillId="0" borderId="73" xfId="1" applyNumberFormat="1" applyFont="1" applyFill="1" applyBorder="1" applyAlignment="1" applyProtection="1">
      <alignment horizontal="center" vertical="center"/>
      <protection locked="0"/>
    </xf>
    <xf numFmtId="165" fontId="12" fillId="0" borderId="122" xfId="1" applyNumberFormat="1" applyFont="1" applyFill="1" applyBorder="1" applyAlignment="1" applyProtection="1">
      <alignment horizontal="center" vertical="center"/>
      <protection locked="0"/>
    </xf>
    <xf numFmtId="165" fontId="12" fillId="0" borderId="36" xfId="1" applyNumberFormat="1" applyFont="1" applyFill="1" applyBorder="1" applyAlignment="1" applyProtection="1">
      <alignment horizontal="center" vertical="center"/>
      <protection locked="0"/>
    </xf>
    <xf numFmtId="165" fontId="12" fillId="0" borderId="59" xfId="1" applyNumberFormat="1" applyFont="1" applyFill="1" applyBorder="1" applyAlignment="1" applyProtection="1">
      <alignment horizontal="center" vertical="center"/>
      <protection locked="0"/>
    </xf>
    <xf numFmtId="0" fontId="12" fillId="0" borderId="54" xfId="0" applyFont="1" applyBorder="1" applyAlignment="1" applyProtection="1">
      <alignment horizontal="left" vertical="center"/>
      <protection hidden="1"/>
    </xf>
    <xf numFmtId="0" fontId="32" fillId="0" borderId="130" xfId="0" applyFont="1" applyBorder="1" applyAlignment="1" applyProtection="1">
      <alignment vertical="center"/>
      <protection hidden="1"/>
    </xf>
    <xf numFmtId="0" fontId="16" fillId="0" borderId="131" xfId="0" applyFont="1" applyBorder="1" applyAlignment="1">
      <alignment vertical="center"/>
    </xf>
    <xf numFmtId="165" fontId="12" fillId="0" borderId="60" xfId="1" applyNumberFormat="1" applyFont="1" applyFill="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22" fillId="0" borderId="49" xfId="0" applyFont="1" applyBorder="1" applyAlignment="1" applyProtection="1">
      <alignment horizontal="center" vertical="center"/>
      <protection locked="0"/>
    </xf>
    <xf numFmtId="9" fontId="0" fillId="0" borderId="0" xfId="0" applyNumberFormat="1"/>
    <xf numFmtId="0" fontId="16" fillId="0" borderId="4" xfId="0" applyFont="1" applyBorder="1"/>
    <xf numFmtId="166" fontId="16" fillId="0" borderId="0" xfId="0" applyNumberFormat="1" applyFont="1" applyAlignment="1">
      <alignment vertical="center"/>
    </xf>
    <xf numFmtId="0" fontId="21" fillId="0" borderId="58" xfId="0" applyFont="1" applyBorder="1" applyAlignment="1" applyProtection="1">
      <alignment vertical="center"/>
      <protection hidden="1"/>
    </xf>
    <xf numFmtId="3" fontId="12" fillId="6" borderId="37" xfId="1" applyNumberFormat="1" applyFont="1" applyFill="1" applyBorder="1" applyAlignment="1" applyProtection="1">
      <alignment horizontal="center" vertical="center"/>
    </xf>
    <xf numFmtId="0" fontId="32" fillId="0" borderId="56" xfId="0" applyFont="1" applyBorder="1" applyAlignment="1" applyProtection="1">
      <alignment horizontal="left" vertical="center" indent="1"/>
      <protection hidden="1"/>
    </xf>
    <xf numFmtId="0" fontId="32" fillId="0" borderId="86" xfId="0" applyFont="1" applyBorder="1" applyAlignment="1" applyProtection="1">
      <alignment horizontal="left" vertical="center"/>
      <protection hidden="1"/>
    </xf>
    <xf numFmtId="0" fontId="16" fillId="0" borderId="87" xfId="0" applyFont="1" applyBorder="1" applyAlignment="1">
      <alignment vertical="center"/>
    </xf>
    <xf numFmtId="165" fontId="12" fillId="0" borderId="86" xfId="1" applyNumberFormat="1" applyFont="1" applyFill="1" applyBorder="1" applyAlignment="1" applyProtection="1">
      <alignment horizontal="center" vertical="center"/>
      <protection locked="0"/>
    </xf>
    <xf numFmtId="0" fontId="32" fillId="0" borderId="49" xfId="0" applyFont="1" applyBorder="1" applyAlignment="1" applyProtection="1">
      <alignment horizontal="left" vertical="center" indent="1"/>
      <protection hidden="1"/>
    </xf>
    <xf numFmtId="0" fontId="32" fillId="0" borderId="58" xfId="0" applyFont="1" applyBorder="1" applyAlignment="1" applyProtection="1">
      <alignment horizontal="left" vertical="center"/>
      <protection hidden="1"/>
    </xf>
    <xf numFmtId="38" fontId="12" fillId="6" borderId="133" xfId="0" applyNumberFormat="1" applyFont="1" applyFill="1" applyBorder="1" applyAlignment="1">
      <alignment horizontal="right" vertical="center"/>
    </xf>
    <xf numFmtId="38" fontId="12" fillId="0" borderId="18" xfId="1" applyNumberFormat="1" applyFont="1" applyFill="1" applyBorder="1" applyAlignment="1" applyProtection="1">
      <alignment horizontal="center" vertical="center"/>
      <protection locked="0"/>
    </xf>
    <xf numFmtId="38" fontId="12" fillId="0" borderId="19" xfId="1" applyNumberFormat="1" applyFont="1" applyFill="1" applyBorder="1" applyAlignment="1" applyProtection="1">
      <alignment horizontal="center" vertical="center"/>
      <protection locked="0"/>
    </xf>
    <xf numFmtId="38" fontId="12" fillId="0" borderId="106" xfId="1" applyNumberFormat="1" applyFont="1" applyFill="1" applyBorder="1" applyAlignment="1" applyProtection="1">
      <alignment horizontal="center" vertical="center"/>
      <protection locked="0"/>
    </xf>
    <xf numFmtId="9" fontId="12" fillId="6" borderId="106" xfId="3" applyFont="1" applyFill="1" applyBorder="1" applyAlignment="1">
      <alignment horizontal="center"/>
    </xf>
    <xf numFmtId="38" fontId="12" fillId="0" borderId="17" xfId="1" applyNumberFormat="1" applyFont="1" applyFill="1" applyBorder="1" applyAlignment="1" applyProtection="1">
      <alignment horizontal="center" vertical="center"/>
      <protection locked="0"/>
    </xf>
    <xf numFmtId="0" fontId="44" fillId="0" borderId="124" xfId="0" applyFont="1" applyBorder="1" applyAlignment="1" applyProtection="1">
      <alignment horizontal="left" vertical="center"/>
      <protection hidden="1"/>
    </xf>
    <xf numFmtId="0" fontId="44" fillId="0" borderId="49" xfId="0" applyFont="1" applyBorder="1" applyAlignment="1" applyProtection="1">
      <alignment horizontal="left" vertical="center"/>
      <protection hidden="1"/>
    </xf>
    <xf numFmtId="0" fontId="44" fillId="0" borderId="39" xfId="0" applyFont="1" applyBorder="1" applyAlignment="1" applyProtection="1">
      <alignment horizontal="left" vertical="center"/>
      <protection hidden="1"/>
    </xf>
    <xf numFmtId="0" fontId="22" fillId="6" borderId="85" xfId="0" applyFont="1" applyFill="1" applyBorder="1" applyAlignment="1" applyProtection="1">
      <alignment horizontal="left" indent="1"/>
      <protection hidden="1"/>
    </xf>
    <xf numFmtId="0" fontId="12" fillId="0" borderId="0" xfId="0" applyFont="1" applyAlignment="1">
      <alignment horizontal="left" vertical="center" wrapText="1" indent="1"/>
    </xf>
    <xf numFmtId="16" fontId="27" fillId="8" borderId="0" xfId="0" quotePrefix="1" applyNumberFormat="1" applyFont="1" applyFill="1"/>
    <xf numFmtId="0" fontId="35" fillId="0" borderId="0" xfId="0" applyFont="1"/>
    <xf numFmtId="9" fontId="0" fillId="0" borderId="0" xfId="3" applyFont="1"/>
    <xf numFmtId="165" fontId="12" fillId="0" borderId="10" xfId="0" applyNumberFormat="1" applyFont="1" applyBorder="1" applyAlignment="1" applyProtection="1">
      <alignment horizontal="center" vertical="center"/>
      <protection locked="0"/>
    </xf>
    <xf numFmtId="38" fontId="12" fillId="0" borderId="134" xfId="1" applyNumberFormat="1" applyFont="1" applyFill="1" applyBorder="1" applyAlignment="1" applyProtection="1">
      <alignment horizontal="center" vertical="center"/>
      <protection locked="0"/>
    </xf>
    <xf numFmtId="38" fontId="12" fillId="0" borderId="135" xfId="1" applyNumberFormat="1" applyFont="1" applyFill="1" applyBorder="1" applyAlignment="1" applyProtection="1">
      <alignment horizontal="center" vertical="center"/>
      <protection locked="0"/>
    </xf>
    <xf numFmtId="0" fontId="25" fillId="0" borderId="0" xfId="0" applyFont="1" applyAlignment="1">
      <alignment vertical="top" wrapText="1"/>
    </xf>
    <xf numFmtId="0" fontId="21" fillId="0" borderId="2" xfId="0" applyFont="1" applyBorder="1" applyAlignment="1">
      <alignment vertical="center" wrapText="1"/>
    </xf>
    <xf numFmtId="0" fontId="17" fillId="0" borderId="0" xfId="0" applyFont="1" applyAlignment="1">
      <alignment horizontal="center" wrapText="1"/>
    </xf>
    <xf numFmtId="0" fontId="45" fillId="0" borderId="0" xfId="0" applyFont="1" applyAlignment="1">
      <alignment horizontal="center"/>
    </xf>
    <xf numFmtId="0" fontId="21" fillId="0" borderId="3" xfId="0" applyFont="1" applyBorder="1" applyAlignment="1">
      <alignment vertical="center" wrapText="1"/>
    </xf>
    <xf numFmtId="0" fontId="21" fillId="0" borderId="4" xfId="0" applyFont="1" applyBorder="1" applyAlignment="1">
      <alignment vertical="center" wrapText="1"/>
    </xf>
    <xf numFmtId="0" fontId="21" fillId="0" borderId="5" xfId="0" applyFont="1" applyBorder="1" applyAlignment="1">
      <alignment vertical="center" wrapText="1"/>
    </xf>
    <xf numFmtId="0" fontId="21" fillId="6" borderId="95" xfId="0" applyFont="1" applyFill="1" applyBorder="1" applyAlignment="1">
      <alignment horizontal="center" vertical="center" wrapText="1"/>
    </xf>
    <xf numFmtId="0" fontId="21" fillId="6" borderId="10" xfId="0" applyFont="1" applyFill="1" applyBorder="1" applyAlignment="1">
      <alignment horizontal="center" vertical="center" wrapText="1"/>
    </xf>
    <xf numFmtId="0" fontId="21" fillId="6" borderId="83" xfId="0" applyFont="1" applyFill="1" applyBorder="1" applyAlignment="1">
      <alignment horizontal="center" vertical="center" wrapText="1"/>
    </xf>
    <xf numFmtId="0" fontId="21" fillId="6" borderId="12" xfId="0" applyFont="1" applyFill="1" applyBorder="1" applyAlignment="1">
      <alignment horizontal="center" vertical="center" wrapText="1"/>
    </xf>
    <xf numFmtId="0" fontId="21" fillId="6" borderId="80" xfId="0" applyFont="1" applyFill="1" applyBorder="1" applyAlignment="1">
      <alignment horizontal="center" vertical="center" wrapText="1"/>
    </xf>
    <xf numFmtId="0" fontId="21" fillId="6" borderId="30" xfId="0" applyFont="1" applyFill="1" applyBorder="1" applyAlignment="1">
      <alignment horizontal="center" vertical="center" wrapText="1"/>
    </xf>
    <xf numFmtId="0" fontId="21" fillId="6" borderId="81" xfId="0" applyFont="1" applyFill="1" applyBorder="1" applyAlignment="1">
      <alignment horizontal="center" vertical="center" wrapText="1"/>
    </xf>
    <xf numFmtId="0" fontId="21" fillId="6" borderId="56" xfId="0" applyFont="1" applyFill="1" applyBorder="1" applyAlignment="1">
      <alignment horizontal="center" vertical="center" wrapText="1"/>
    </xf>
    <xf numFmtId="0" fontId="21" fillId="6" borderId="0" xfId="0" applyFont="1" applyFill="1" applyAlignment="1">
      <alignment horizontal="center" vertical="center" wrapText="1"/>
    </xf>
    <xf numFmtId="0" fontId="21" fillId="6" borderId="78" xfId="0" applyFont="1" applyFill="1" applyBorder="1" applyAlignment="1">
      <alignment horizontal="center" vertical="center" wrapText="1"/>
    </xf>
    <xf numFmtId="0" fontId="21" fillId="6" borderId="85" xfId="0" applyFont="1" applyFill="1" applyBorder="1" applyAlignment="1">
      <alignment horizontal="center" vertical="center" wrapText="1"/>
    </xf>
    <xf numFmtId="0" fontId="21" fillId="6" borderId="86" xfId="0" applyFont="1" applyFill="1" applyBorder="1" applyAlignment="1">
      <alignment horizontal="center" vertical="center" wrapText="1"/>
    </xf>
    <xf numFmtId="0" fontId="21" fillId="6" borderId="87" xfId="0" applyFont="1" applyFill="1" applyBorder="1" applyAlignment="1">
      <alignment horizontal="center" vertical="center" wrapText="1"/>
    </xf>
    <xf numFmtId="0" fontId="21" fillId="6" borderId="82" xfId="0" applyFont="1" applyFill="1" applyBorder="1" applyAlignment="1">
      <alignment horizontal="center" vertical="center" wrapText="1"/>
    </xf>
    <xf numFmtId="0" fontId="21" fillId="6" borderId="79" xfId="0" applyFont="1" applyFill="1" applyBorder="1" applyAlignment="1">
      <alignment horizontal="center" vertical="center" wrapText="1"/>
    </xf>
    <xf numFmtId="0" fontId="21" fillId="6" borderId="88" xfId="0" applyFont="1" applyFill="1" applyBorder="1" applyAlignment="1">
      <alignment horizontal="center" vertical="center" wrapText="1"/>
    </xf>
    <xf numFmtId="0" fontId="12" fillId="6" borderId="51" xfId="0" applyFont="1" applyFill="1" applyBorder="1" applyAlignment="1">
      <alignment vertical="center"/>
    </xf>
    <xf numFmtId="0" fontId="12" fillId="6" borderId="7" xfId="0" applyFont="1" applyFill="1" applyBorder="1" applyAlignment="1">
      <alignment vertical="center"/>
    </xf>
    <xf numFmtId="0" fontId="12" fillId="6" borderId="84" xfId="0" applyFont="1" applyFill="1" applyBorder="1" applyAlignment="1">
      <alignment vertical="center"/>
    </xf>
    <xf numFmtId="0" fontId="12" fillId="0" borderId="3"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6" borderId="66" xfId="0" applyFont="1" applyFill="1" applyBorder="1" applyAlignment="1">
      <alignment horizontal="left" vertical="center" wrapText="1"/>
    </xf>
    <xf numFmtId="0" fontId="12" fillId="6" borderId="68" xfId="0" applyFont="1" applyFill="1" applyBorder="1" applyAlignment="1">
      <alignment horizontal="left" vertical="center" wrapText="1"/>
    </xf>
    <xf numFmtId="0" fontId="21" fillId="6" borderId="34" xfId="0" applyFont="1" applyFill="1" applyBorder="1" applyAlignment="1">
      <alignment horizontal="center" vertical="center" wrapText="1"/>
    </xf>
    <xf numFmtId="0" fontId="21" fillId="6" borderId="62" xfId="0" applyFont="1" applyFill="1" applyBorder="1" applyAlignment="1">
      <alignment horizontal="center" vertical="center" wrapText="1"/>
    </xf>
    <xf numFmtId="0" fontId="21" fillId="6" borderId="100" xfId="0" applyFont="1" applyFill="1" applyBorder="1" applyAlignment="1">
      <alignment horizontal="center" vertical="center" wrapText="1"/>
    </xf>
    <xf numFmtId="0" fontId="21" fillId="6" borderId="101" xfId="0" applyFont="1" applyFill="1" applyBorder="1" applyAlignment="1">
      <alignment horizontal="center" vertical="center" wrapText="1"/>
    </xf>
    <xf numFmtId="0" fontId="21" fillId="0" borderId="0" xfId="0" applyFont="1" applyAlignment="1">
      <alignment horizontal="right" vertical="center" wrapText="1"/>
    </xf>
    <xf numFmtId="0" fontId="21" fillId="0" borderId="6" xfId="0" applyFont="1" applyBorder="1" applyAlignment="1">
      <alignment horizontal="right" vertical="center" wrapText="1"/>
    </xf>
    <xf numFmtId="0" fontId="30" fillId="0" borderId="0" xfId="0" quotePrefix="1" applyFont="1"/>
    <xf numFmtId="0" fontId="12" fillId="0" borderId="2" xfId="0" applyFont="1" applyBorder="1" applyAlignment="1" applyProtection="1">
      <alignment horizontal="left" vertical="center"/>
      <protection locked="0"/>
    </xf>
    <xf numFmtId="0" fontId="22" fillId="6" borderId="35" xfId="0" applyFont="1" applyFill="1" applyBorder="1" applyAlignment="1">
      <alignment vertical="center"/>
    </xf>
    <xf numFmtId="0" fontId="22" fillId="6" borderId="38" xfId="0" applyFont="1" applyFill="1" applyBorder="1" applyAlignment="1">
      <alignment vertical="center"/>
    </xf>
    <xf numFmtId="0" fontId="22" fillId="6" borderId="49" xfId="0" applyFont="1" applyFill="1" applyBorder="1" applyAlignment="1">
      <alignment vertical="center"/>
    </xf>
    <xf numFmtId="0" fontId="22" fillId="6" borderId="58" xfId="0" applyFont="1" applyFill="1" applyBorder="1" applyAlignment="1">
      <alignment vertical="center"/>
    </xf>
    <xf numFmtId="0" fontId="21" fillId="6" borderId="3" xfId="0" applyFont="1" applyFill="1" applyBorder="1" applyAlignment="1">
      <alignment vertical="center" wrapText="1"/>
    </xf>
    <xf numFmtId="0" fontId="21" fillId="6" borderId="4" xfId="0" applyFont="1" applyFill="1" applyBorder="1" applyAlignment="1">
      <alignment vertical="center" wrapText="1"/>
    </xf>
    <xf numFmtId="0" fontId="22" fillId="6" borderId="39" xfId="0" applyFont="1" applyFill="1" applyBorder="1" applyAlignment="1">
      <alignment vertical="center"/>
    </xf>
    <xf numFmtId="0" fontId="22" fillId="6" borderId="73" xfId="0" applyFont="1" applyFill="1" applyBorder="1" applyAlignment="1">
      <alignment vertical="center"/>
    </xf>
    <xf numFmtId="0" fontId="23" fillId="0" borderId="32" xfId="0" applyFont="1" applyBorder="1" applyAlignment="1" applyProtection="1">
      <alignment vertical="center" wrapText="1"/>
      <protection hidden="1"/>
    </xf>
    <xf numFmtId="0" fontId="23" fillId="0" borderId="33" xfId="0" applyFont="1" applyBorder="1" applyAlignment="1" applyProtection="1">
      <alignment vertical="center" wrapText="1"/>
      <protection hidden="1"/>
    </xf>
    <xf numFmtId="0" fontId="23" fillId="0" borderId="90" xfId="0" applyFont="1" applyBorder="1" applyAlignment="1" applyProtection="1">
      <alignment vertical="center" wrapText="1"/>
      <protection hidden="1"/>
    </xf>
    <xf numFmtId="0" fontId="23" fillId="0" borderId="31" xfId="0" applyFont="1" applyBorder="1" applyAlignment="1" applyProtection="1">
      <alignment vertical="center" wrapText="1"/>
      <protection hidden="1"/>
    </xf>
    <xf numFmtId="0" fontId="12" fillId="0" borderId="2" xfId="0" applyFont="1" applyBorder="1" applyAlignment="1" applyProtection="1">
      <alignment horizontal="left" vertical="center" wrapText="1" indent="1"/>
      <protection locked="0"/>
    </xf>
    <xf numFmtId="0" fontId="41" fillId="0" borderId="97" xfId="0" applyFont="1" applyBorder="1" applyAlignment="1">
      <alignment horizontal="center" vertical="center" wrapText="1"/>
    </xf>
    <xf numFmtId="0" fontId="41" fillId="0" borderId="98" xfId="0" applyFont="1" applyBorder="1" applyAlignment="1">
      <alignment horizontal="center" vertical="center" wrapText="1"/>
    </xf>
    <xf numFmtId="0" fontId="12" fillId="0" borderId="2" xfId="0" applyFont="1" applyBorder="1" applyAlignment="1" applyProtection="1">
      <alignment horizontal="left" vertical="center" indent="1"/>
      <protection locked="0"/>
    </xf>
    <xf numFmtId="0" fontId="14" fillId="0" borderId="0" xfId="0" applyFont="1"/>
    <xf numFmtId="0" fontId="42" fillId="0" borderId="0" xfId="0" applyFont="1" applyAlignment="1">
      <alignment horizontal="left" vertical="center" wrapText="1"/>
    </xf>
    <xf numFmtId="0" fontId="12" fillId="0" borderId="0" xfId="0" applyFont="1" applyAlignment="1" applyProtection="1">
      <alignment horizontal="left" vertical="center" indent="1"/>
      <protection locked="0"/>
    </xf>
    <xf numFmtId="0" fontId="23" fillId="0" borderId="33" xfId="0" applyFont="1" applyBorder="1" applyAlignment="1" applyProtection="1">
      <alignment vertical="top" wrapText="1"/>
      <protection hidden="1"/>
    </xf>
    <xf numFmtId="0" fontId="23" fillId="0" borderId="90" xfId="0" applyFont="1" applyBorder="1" applyAlignment="1" applyProtection="1">
      <alignment vertical="top" wrapText="1"/>
      <protection hidden="1"/>
    </xf>
    <xf numFmtId="0" fontId="29" fillId="0" borderId="0" xfId="0" applyFont="1" applyAlignment="1">
      <alignment wrapText="1"/>
    </xf>
    <xf numFmtId="0" fontId="23" fillId="0" borderId="32" xfId="0" applyFont="1" applyBorder="1" applyAlignment="1" applyProtection="1">
      <alignment vertical="top" wrapText="1"/>
      <protection hidden="1"/>
    </xf>
    <xf numFmtId="0" fontId="32" fillId="6" borderId="24" xfId="0" applyFont="1" applyFill="1" applyBorder="1" applyAlignment="1">
      <alignment horizontal="center" vertical="center"/>
    </xf>
    <xf numFmtId="0" fontId="32" fillId="6" borderId="57" xfId="0" applyFont="1" applyFill="1" applyBorder="1" applyAlignment="1">
      <alignment horizontal="center" vertical="center"/>
    </xf>
    <xf numFmtId="0" fontId="32" fillId="6" borderId="62" xfId="0" applyFont="1" applyFill="1" applyBorder="1" applyAlignment="1">
      <alignment horizontal="center" vertical="center"/>
    </xf>
    <xf numFmtId="0" fontId="12" fillId="6" borderId="64" xfId="0" applyFont="1" applyFill="1" applyBorder="1" applyAlignment="1">
      <alignment vertical="center"/>
    </xf>
    <xf numFmtId="0" fontId="12" fillId="6" borderId="67" xfId="0" applyFont="1" applyFill="1" applyBorder="1" applyAlignment="1">
      <alignment vertical="center"/>
    </xf>
    <xf numFmtId="0" fontId="12" fillId="6" borderId="68" xfId="0" applyFont="1" applyFill="1" applyBorder="1" applyAlignment="1">
      <alignment vertical="center"/>
    </xf>
    <xf numFmtId="0" fontId="12" fillId="0" borderId="124" xfId="0" applyFont="1" applyBorder="1" applyAlignment="1" applyProtection="1">
      <alignment horizontal="left" vertical="center" indent="1"/>
      <protection locked="0"/>
    </xf>
    <xf numFmtId="0" fontId="12" fillId="0" borderId="119" xfId="0" applyFont="1" applyBorder="1" applyAlignment="1" applyProtection="1">
      <alignment horizontal="left" vertical="center" indent="1"/>
      <protection locked="0"/>
    </xf>
    <xf numFmtId="0" fontId="12" fillId="0" borderId="123" xfId="0" applyFont="1" applyBorder="1" applyAlignment="1" applyProtection="1">
      <alignment horizontal="left" vertical="center" indent="1"/>
      <protection locked="0"/>
    </xf>
    <xf numFmtId="0" fontId="12" fillId="0" borderId="49" xfId="0" applyFont="1" applyBorder="1" applyAlignment="1" applyProtection="1">
      <alignment horizontal="left" vertical="center" indent="1"/>
      <protection locked="0"/>
    </xf>
    <xf numFmtId="0" fontId="12" fillId="0" borderId="58" xfId="0" applyFont="1" applyBorder="1" applyAlignment="1" applyProtection="1">
      <alignment horizontal="left" vertical="center" indent="1"/>
      <protection locked="0"/>
    </xf>
    <xf numFmtId="0" fontId="12" fillId="0" borderId="13" xfId="0" applyFont="1" applyBorder="1" applyAlignment="1" applyProtection="1">
      <alignment horizontal="left" vertical="center" indent="1"/>
      <protection locked="0"/>
    </xf>
    <xf numFmtId="0" fontId="12" fillId="0" borderId="54" xfId="0" applyFont="1" applyBorder="1" applyAlignment="1" applyProtection="1">
      <alignment horizontal="left" vertical="center" indent="1"/>
      <protection locked="0"/>
    </xf>
    <xf numFmtId="0" fontId="12" fillId="0" borderId="130" xfId="0" applyFont="1" applyBorder="1" applyAlignment="1" applyProtection="1">
      <alignment horizontal="left" vertical="center" indent="1"/>
      <protection locked="0"/>
    </xf>
    <xf numFmtId="0" fontId="12" fillId="0" borderId="63" xfId="0" applyFont="1" applyBorder="1" applyAlignment="1" applyProtection="1">
      <alignment horizontal="left" vertical="center" indent="1"/>
      <protection locked="0"/>
    </xf>
    <xf numFmtId="0" fontId="12" fillId="6" borderId="124" xfId="0" applyFont="1" applyFill="1" applyBorder="1" applyAlignment="1">
      <alignment horizontal="center" vertical="center"/>
    </xf>
    <xf numFmtId="0" fontId="12" fillId="6" borderId="119" xfId="0" applyFont="1" applyFill="1" applyBorder="1" applyAlignment="1">
      <alignment horizontal="center" vertical="center"/>
    </xf>
    <xf numFmtId="0" fontId="12" fillId="6" borderId="123" xfId="0" applyFont="1" applyFill="1" applyBorder="1" applyAlignment="1">
      <alignment horizontal="center" vertical="center"/>
    </xf>
    <xf numFmtId="0" fontId="12" fillId="0" borderId="39" xfId="0" applyFont="1" applyBorder="1" applyAlignment="1" applyProtection="1">
      <alignment horizontal="left" vertical="center" indent="1"/>
      <protection locked="0"/>
    </xf>
    <xf numFmtId="0" fontId="12" fillId="0" borderId="73" xfId="0" applyFont="1" applyBorder="1" applyAlignment="1" applyProtection="1">
      <alignment horizontal="left" vertical="center" indent="1"/>
      <protection locked="0"/>
    </xf>
    <xf numFmtId="0" fontId="12" fillId="0" borderId="118" xfId="0" applyFont="1" applyBorder="1" applyAlignment="1" applyProtection="1">
      <alignment horizontal="left" vertical="center" indent="1"/>
      <protection locked="0"/>
    </xf>
    <xf numFmtId="0" fontId="12" fillId="0" borderId="85" xfId="0" applyFont="1" applyBorder="1" applyAlignment="1" applyProtection="1">
      <alignment horizontal="left" vertical="center" indent="1"/>
      <protection locked="0"/>
    </xf>
    <xf numFmtId="0" fontId="12" fillId="0" borderId="86" xfId="0" applyFont="1" applyBorder="1" applyAlignment="1" applyProtection="1">
      <alignment horizontal="left" vertical="center" indent="1"/>
      <protection locked="0"/>
    </xf>
    <xf numFmtId="0" fontId="12" fillId="0" borderId="132" xfId="0" applyFont="1" applyBorder="1" applyAlignment="1" applyProtection="1">
      <alignment horizontal="left" vertical="center" indent="1"/>
      <protection locked="0"/>
    </xf>
    <xf numFmtId="0" fontId="12" fillId="6" borderId="3" xfId="0" applyFont="1" applyFill="1" applyBorder="1" applyAlignment="1">
      <alignment horizontal="center" vertical="center"/>
    </xf>
    <xf numFmtId="0" fontId="12" fillId="6" borderId="4" xfId="0" applyFont="1" applyFill="1" applyBorder="1" applyAlignment="1">
      <alignment horizontal="center" vertical="center"/>
    </xf>
    <xf numFmtId="0" fontId="12" fillId="6" borderId="5" xfId="0" applyFont="1" applyFill="1" applyBorder="1" applyAlignment="1">
      <alignment horizontal="center" vertical="center"/>
    </xf>
    <xf numFmtId="0" fontId="23" fillId="0" borderId="93" xfId="0" applyFont="1" applyBorder="1" applyAlignment="1" applyProtection="1">
      <alignment vertical="center" wrapText="1"/>
      <protection hidden="1"/>
    </xf>
    <xf numFmtId="0" fontId="12" fillId="0" borderId="3" xfId="0" applyFont="1" applyBorder="1" applyAlignment="1" applyProtection="1">
      <alignment horizontal="left" vertical="center" wrapText="1" indent="1"/>
      <protection locked="0"/>
    </xf>
    <xf numFmtId="0" fontId="12" fillId="0" borderId="4" xfId="0" applyFont="1" applyBorder="1" applyAlignment="1" applyProtection="1">
      <alignment horizontal="left" vertical="center" wrapText="1" indent="1"/>
      <protection locked="0"/>
    </xf>
    <xf numFmtId="0" fontId="12" fillId="0" borderId="5" xfId="0" applyFont="1" applyBorder="1" applyAlignment="1" applyProtection="1">
      <alignment horizontal="left" vertical="center" wrapText="1" indent="1"/>
      <protection locked="0"/>
    </xf>
    <xf numFmtId="0" fontId="23" fillId="0" borderId="16" xfId="0" applyFont="1" applyBorder="1" applyAlignment="1" applyProtection="1">
      <alignment vertical="center" wrapText="1"/>
      <protection hidden="1"/>
    </xf>
    <xf numFmtId="0" fontId="34" fillId="0" borderId="69" xfId="0" applyFont="1" applyBorder="1" applyAlignment="1">
      <alignment vertical="center" wrapText="1"/>
    </xf>
    <xf numFmtId="0" fontId="22" fillId="0" borderId="0" xfId="0" applyFont="1" applyAlignment="1">
      <alignment horizontal="left" vertical="top" wrapText="1"/>
    </xf>
    <xf numFmtId="0" fontId="23" fillId="0" borderId="89" xfId="0" applyFont="1" applyBorder="1" applyAlignment="1" applyProtection="1">
      <alignment vertical="center" wrapText="1"/>
      <protection hidden="1"/>
    </xf>
    <xf numFmtId="0" fontId="12" fillId="6" borderId="75" xfId="0" applyFont="1" applyFill="1" applyBorder="1" applyAlignment="1" applyProtection="1">
      <alignment horizontal="left" indent="1"/>
      <protection hidden="1"/>
    </xf>
    <xf numFmtId="0" fontId="12" fillId="6" borderId="76" xfId="0" applyFont="1" applyFill="1" applyBorder="1" applyAlignment="1" applyProtection="1">
      <alignment horizontal="left" indent="1"/>
      <protection hidden="1"/>
    </xf>
    <xf numFmtId="0" fontId="23" fillId="0" borderId="128" xfId="0" applyFont="1" applyBorder="1" applyAlignment="1">
      <alignment vertical="center" wrapText="1"/>
    </xf>
    <xf numFmtId="0" fontId="23" fillId="0" borderId="32" xfId="0" applyFont="1" applyBorder="1" applyAlignment="1">
      <alignment vertical="center" wrapText="1"/>
    </xf>
    <xf numFmtId="0" fontId="23" fillId="0" borderId="129" xfId="0" applyFont="1" applyBorder="1" applyAlignment="1">
      <alignment vertical="center" wrapText="1"/>
    </xf>
    <xf numFmtId="0" fontId="34" fillId="0" borderId="69" xfId="0" applyFont="1" applyBorder="1" applyAlignment="1">
      <alignment wrapText="1"/>
    </xf>
  </cellXfs>
  <cellStyles count="7">
    <cellStyle name="Currency" xfId="1" builtinId="4"/>
    <cellStyle name="Currency 2" xfId="4" xr:uid="{00000000-0005-0000-0000-000001000000}"/>
    <cellStyle name="Hyperlink" xfId="2" builtinId="8"/>
    <cellStyle name="Normal" xfId="0" builtinId="0"/>
    <cellStyle name="Normal 2" xfId="5" xr:uid="{00000000-0005-0000-0000-000004000000}"/>
    <cellStyle name="Normal 2 2" xfId="6" xr:uid="{00000000-0005-0000-0000-000005000000}"/>
    <cellStyle name="Percent" xfId="3" builtinId="5"/>
  </cellStyles>
  <dxfs count="68">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theme="0"/>
        </patternFill>
      </fill>
      <border>
        <left/>
        <right/>
        <top/>
        <bottom/>
        <vertical/>
        <horizontal/>
      </border>
    </dxf>
    <dxf>
      <fill>
        <patternFill>
          <bgColor rgb="FFFFFF99"/>
        </patternFill>
      </fill>
    </dxf>
    <dxf>
      <fill>
        <patternFill>
          <bgColor rgb="FFFFFF99"/>
        </patternFill>
      </fill>
    </dxf>
    <dxf>
      <fill>
        <patternFill patternType="solid">
          <bgColor theme="0"/>
        </patternFill>
      </fill>
      <border>
        <left/>
        <right/>
        <top/>
        <bottom/>
        <vertical/>
        <horizontal/>
      </border>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theme="0"/>
        </patternFill>
      </fill>
      <border>
        <left/>
        <right/>
        <top/>
        <bottom/>
        <vertical/>
        <horizontal/>
      </border>
    </dxf>
    <dxf>
      <fill>
        <patternFill patternType="solid">
          <bgColor theme="0"/>
        </patternFill>
      </fill>
      <border>
        <left/>
        <right/>
        <top/>
        <bottom/>
        <vertical/>
        <horizontal/>
      </border>
    </dxf>
    <dxf>
      <fill>
        <patternFill>
          <bgColor rgb="FFFFFF99"/>
        </patternFill>
      </fill>
    </dxf>
    <dxf>
      <border>
        <left style="thin">
          <color auto="1"/>
        </left>
        <right style="thin">
          <color auto="1"/>
        </right>
        <top style="thin">
          <color auto="1"/>
        </top>
        <bottom style="thin">
          <color auto="1"/>
        </bottom>
        <vertical/>
        <horizontal/>
      </border>
    </dxf>
    <dxf>
      <fill>
        <patternFill>
          <bgColor rgb="FFFFFF99"/>
        </patternFill>
      </fill>
      <border>
        <left style="thin">
          <color auto="1"/>
        </left>
        <right style="thin">
          <color auto="1"/>
        </right>
        <top style="thin">
          <color auto="1"/>
        </top>
        <bottom style="thin">
          <color auto="1"/>
        </bottom>
        <vertical/>
        <horizontal/>
      </border>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66"/>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Project Cash Flow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ndard"/>
        <c:varyColors val="0"/>
        <c:ser>
          <c:idx val="0"/>
          <c:order val="0"/>
          <c:spPr>
            <a:solidFill>
              <a:schemeClr val="accent1"/>
            </a:solidFill>
            <a:ln>
              <a:noFill/>
            </a:ln>
            <a:effectLst/>
          </c:spPr>
          <c:val>
            <c:numRef>
              <c:f>(chart!$F$1:$Q$1,chart!$E$3:$Q$3)</c:f>
              <c:numCache>
                <c:formatCode>#,##0_);[Red]\(#,##0\)</c:formatCode>
                <c:ptCount val="25"/>
                <c:pt idx="0">
                  <c:v>-1358134</c:v>
                </c:pt>
                <c:pt idx="1">
                  <c:v>-1227294.3999999999</c:v>
                </c:pt>
                <c:pt idx="2">
                  <c:v>-1116422.0959999999</c:v>
                </c:pt>
                <c:pt idx="3">
                  <c:v>-1015869.6598399999</c:v>
                </c:pt>
                <c:pt idx="4">
                  <c:v>-911272.02463359991</c:v>
                </c:pt>
                <c:pt idx="5">
                  <c:v>-813079.15697094391</c:v>
                </c:pt>
                <c:pt idx="6">
                  <c:v>-721095.71534234169</c:v>
                </c:pt>
                <c:pt idx="7">
                  <c:v>-624477.69421137217</c:v>
                </c:pt>
                <c:pt idx="8">
                  <c:v>-523011.05314282392</c:v>
                </c:pt>
                <c:pt idx="9">
                  <c:v>-456472.33036642364</c:v>
                </c:pt>
                <c:pt idx="10">
                  <c:v>-344628.24013190396</c:v>
                </c:pt>
                <c:pt idx="11">
                  <c:v>-267235.25318452821</c:v>
                </c:pt>
                <c:pt idx="12">
                  <c:v>-144039.15966267782</c:v>
                </c:pt>
                <c:pt idx="13">
                  <c:v>-14774.613690476486</c:v>
                </c:pt>
                <c:pt idx="14">
                  <c:v>120835.34109137417</c:v>
                </c:pt>
                <c:pt idx="15">
                  <c:v>263079.76584438293</c:v>
                </c:pt>
                <c:pt idx="16">
                  <c:v>412260.34152079269</c:v>
                </c:pt>
                <c:pt idx="17">
                  <c:v>568691.90537553781</c:v>
                </c:pt>
                <c:pt idx="18">
                  <c:v>732703.00989029021</c:v>
                </c:pt>
                <c:pt idx="19">
                  <c:v>904636.5050346246</c:v>
                </c:pt>
                <c:pt idx="20">
                  <c:v>1084850.144827194</c:v>
                </c:pt>
                <c:pt idx="21">
                  <c:v>1273717.2191992018</c:v>
                </c:pt>
                <c:pt idx="22">
                  <c:v>1471627.2122034575</c:v>
                </c:pt>
                <c:pt idx="23">
                  <c:v>1678986.4876549719</c:v>
                </c:pt>
                <c:pt idx="24">
                  <c:v>1896219.0033334482</c:v>
                </c:pt>
              </c:numCache>
            </c:numRef>
          </c:val>
          <c:extLst>
            <c:ext xmlns:c16="http://schemas.microsoft.com/office/drawing/2014/chart" uri="{C3380CC4-5D6E-409C-BE32-E72D297353CC}">
              <c16:uniqueId val="{00000000-5B8F-42FD-9207-108ECC8ADB11}"/>
            </c:ext>
          </c:extLst>
        </c:ser>
        <c:dLbls>
          <c:showLegendKey val="0"/>
          <c:showVal val="0"/>
          <c:showCatName val="0"/>
          <c:showSerName val="0"/>
          <c:showPercent val="0"/>
          <c:showBubbleSize val="0"/>
        </c:dLbls>
        <c:axId val="507523000"/>
        <c:axId val="507520440"/>
      </c:areaChart>
      <c:catAx>
        <c:axId val="5075230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520440"/>
        <c:crosses val="autoZero"/>
        <c:auto val="1"/>
        <c:lblAlgn val="ctr"/>
        <c:lblOffset val="100"/>
        <c:noMultiLvlLbl val="0"/>
      </c:catAx>
      <c:valAx>
        <c:axId val="507520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0" baseline="0"/>
                  <a:t>Cumulative Income</a:t>
                </a:r>
                <a:r>
                  <a:rPr lang="en-US" b="0"/>
                  <a:t> </a:t>
                </a:r>
                <a:r>
                  <a:rPr lang="en-US"/>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5230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773549</xdr:colOff>
      <xdr:row>0</xdr:row>
      <xdr:rowOff>276630</xdr:rowOff>
    </xdr:to>
    <xdr:pic>
      <xdr:nvPicPr>
        <xdr:cNvPr id="2" name="Picture 1">
          <a:extLst>
            <a:ext uri="{FF2B5EF4-FFF2-40B4-BE49-F238E27FC236}">
              <a16:creationId xmlns:a16="http://schemas.microsoft.com/office/drawing/2014/main" id="{33ECE32E-27C0-4767-AD6D-1CCA896915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41239" cy="2728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227647</xdr:colOff>
      <xdr:row>45</xdr:row>
      <xdr:rowOff>56197</xdr:rowOff>
    </xdr:from>
    <xdr:to>
      <xdr:col>13</xdr:col>
      <xdr:colOff>611505</xdr:colOff>
      <xdr:row>60</xdr:row>
      <xdr:rowOff>86677</xdr:rowOff>
    </xdr:to>
    <xdr:graphicFrame macro="">
      <xdr:nvGraphicFramePr>
        <xdr:cNvPr id="2" name="Chart 1">
          <a:extLst>
            <a:ext uri="{FF2B5EF4-FFF2-40B4-BE49-F238E27FC236}">
              <a16:creationId xmlns:a16="http://schemas.microsoft.com/office/drawing/2014/main" id="{57D5DB7F-0C06-42D4-B7B9-64BF345EB0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suh/Downloads/ESC_Energy_Event_Inpu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suh/Downloads/v4_Indoor%20Water%20Use%20Reduction%20Calculator_v0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Clients/Fannie%20Mae/SI_005372_Multifamily%20Green%20Financing%20Business%20TA%202018/%23Deliverables/4099H/4099h%20Aug18%20V2%20-%20mock%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ergy Improvements"/>
      <sheetName val="Measure-List"/>
      <sheetName val="Input-Property"/>
      <sheetName val="Dropdowns"/>
      <sheetName val="Sheet1"/>
    </sheetNames>
    <sheetDataSet>
      <sheetData sheetId="0"/>
      <sheetData sheetId="1">
        <row r="1">
          <cell r="B1" t="str">
            <v>Category</v>
          </cell>
          <cell r="C1" t="str">
            <v>Improvement</v>
          </cell>
          <cell r="F1" t="str">
            <v>Category</v>
          </cell>
        </row>
        <row r="2">
          <cell r="C2" t="str">
            <v>HEATING</v>
          </cell>
          <cell r="F2" t="str">
            <v>Heating</v>
          </cell>
          <cell r="I2" t="str">
            <v>Select One</v>
          </cell>
          <cell r="J2" t="str">
            <v>Select One</v>
          </cell>
          <cell r="K2" t="str">
            <v>Select One</v>
          </cell>
          <cell r="L2" t="str">
            <v>Select One</v>
          </cell>
          <cell r="M2" t="str">
            <v>Select One</v>
          </cell>
        </row>
        <row r="3">
          <cell r="B3" t="str">
            <v>Heating</v>
          </cell>
          <cell r="C3" t="str">
            <v xml:space="preserve">   AHU (Air Handling Unit)- Install/Upgrade </v>
          </cell>
          <cell r="F3" t="str">
            <v>Cooling</v>
          </cell>
          <cell r="I3" t="str">
            <v>Therms</v>
          </cell>
          <cell r="J3" t="str">
            <v>Gallons</v>
          </cell>
          <cell r="K3" t="str">
            <v>Lbs (Pound)</v>
          </cell>
          <cell r="L3" t="str">
            <v>Oil #2 Gallons</v>
          </cell>
          <cell r="M3" t="str">
            <v>Gallons</v>
          </cell>
        </row>
        <row r="4">
          <cell r="B4" t="str">
            <v>Heating</v>
          </cell>
          <cell r="C4" t="str">
            <v xml:space="preserve">   AHU (Air Handling Unit)- Repair/Clean </v>
          </cell>
          <cell r="F4" t="str">
            <v>Domestic Hot Water</v>
          </cell>
          <cell r="I4" t="str">
            <v>Cubic Feet</v>
          </cell>
          <cell r="J4" t="str">
            <v>Cubic Feet</v>
          </cell>
          <cell r="K4" t="str">
            <v>Mlbs or Klbs (1000 pounds)</v>
          </cell>
          <cell r="L4" t="str">
            <v>Oil #4 Gallons</v>
          </cell>
          <cell r="M4" t="str">
            <v>100 Gallons</v>
          </cell>
        </row>
        <row r="5">
          <cell r="B5" t="str">
            <v>Heating</v>
          </cell>
          <cell r="C5" t="str">
            <v xml:space="preserve">   Air Filters- Clean/Replace </v>
          </cell>
          <cell r="F5" t="str">
            <v>Water</v>
          </cell>
          <cell r="I5" t="str">
            <v>CCF (100 CF)</v>
          </cell>
          <cell r="J5" t="str">
            <v>CCF (100 CF)</v>
          </cell>
          <cell r="K5" t="str">
            <v>Therms</v>
          </cell>
          <cell r="L5" t="str">
            <v>Oil #6 Gallons</v>
          </cell>
          <cell r="M5" t="str">
            <v>1000 Gallons</v>
          </cell>
        </row>
        <row r="6">
          <cell r="B6" t="str">
            <v>Heating</v>
          </cell>
          <cell r="C6" t="str">
            <v xml:space="preserve">   Air Vent/Steam Vent- Install/Upgrade/Repair </v>
          </cell>
          <cell r="F6" t="str">
            <v>Ventilation</v>
          </cell>
          <cell r="I6" t="str">
            <v>KCF or MCF (1000 CF)</v>
          </cell>
          <cell r="J6" t="str">
            <v>KCF or MCF (1000 CF)</v>
          </cell>
          <cell r="K6" t="str">
            <v>mmBTU (Million BTU)</v>
          </cell>
          <cell r="L6" t="str">
            <v>kBTU (1000 BTU)</v>
          </cell>
          <cell r="M6" t="str">
            <v>M Gallons</v>
          </cell>
        </row>
        <row r="7">
          <cell r="B7" t="str">
            <v>Heating</v>
          </cell>
          <cell r="C7" t="str">
            <v xml:space="preserve">   Barometric Damper- Install/Upgrade/Repair </v>
          </cell>
          <cell r="F7" t="str">
            <v>Building Enclosure</v>
          </cell>
          <cell r="I7" t="str">
            <v>kBTU (1000 BTU)</v>
          </cell>
          <cell r="L7" t="str">
            <v>mmBTU (Million BTU)</v>
          </cell>
          <cell r="M7" t="str">
            <v>Cubic Feet</v>
          </cell>
        </row>
        <row r="8">
          <cell r="B8" t="str">
            <v>Heating</v>
          </cell>
          <cell r="C8" t="str">
            <v xml:space="preserve">   BMS/EMS- Install </v>
          </cell>
          <cell r="F8" t="str">
            <v>Lighting</v>
          </cell>
          <cell r="I8" t="str">
            <v>mmBTU (Million BTU)</v>
          </cell>
          <cell r="M8" t="str">
            <v>CCF (100 CF)</v>
          </cell>
        </row>
        <row r="9">
          <cell r="B9" t="str">
            <v>Heating</v>
          </cell>
          <cell r="C9" t="str">
            <v xml:space="preserve">   Boiler Controls- Clean/Tune/Calibrate </v>
          </cell>
          <cell r="F9" t="str">
            <v>Appliances</v>
          </cell>
          <cell r="M9" t="str">
            <v>KCF or MCF (1000 CF)</v>
          </cell>
        </row>
        <row r="10">
          <cell r="B10" t="str">
            <v>Heating</v>
          </cell>
          <cell r="C10" t="str">
            <v xml:space="preserve">   Boiler Controls- Upgrade </v>
          </cell>
          <cell r="F10" t="str">
            <v>Pumps/Motors</v>
          </cell>
        </row>
        <row r="11">
          <cell r="B11" t="str">
            <v>Heating</v>
          </cell>
          <cell r="C11" t="str">
            <v xml:space="preserve">   Boiler/Furnace-Convert Fuel Type </v>
          </cell>
          <cell r="F11" t="str">
            <v>Renewable Energy</v>
          </cell>
        </row>
        <row r="12">
          <cell r="B12" t="str">
            <v>Heating</v>
          </cell>
          <cell r="C12" t="str">
            <v xml:space="preserve">   Boiler/Furnace- Install/Upgrade </v>
          </cell>
          <cell r="F12" t="str">
            <v>Operations and Maintenance</v>
          </cell>
        </row>
        <row r="13">
          <cell r="B13" t="str">
            <v>Heating</v>
          </cell>
          <cell r="C13" t="str">
            <v xml:space="preserve">   Boiler/Furnace- Insulate </v>
          </cell>
          <cell r="F13" t="str">
            <v>Non-Energy Saving</v>
          </cell>
        </row>
        <row r="14">
          <cell r="B14" t="str">
            <v>Heating</v>
          </cell>
          <cell r="C14" t="str">
            <v xml:space="preserve">   Boiler/Furnace- Repair/Clean/Tune/Calibrate </v>
          </cell>
          <cell r="F14" t="str">
            <v>Other</v>
          </cell>
        </row>
        <row r="15">
          <cell r="B15" t="str">
            <v>Heating</v>
          </cell>
          <cell r="C15" t="str">
            <v xml:space="preserve">   Burner- Install/Upgrade </v>
          </cell>
        </row>
        <row r="16">
          <cell r="B16" t="str">
            <v>Heating</v>
          </cell>
          <cell r="C16" t="str">
            <v xml:space="preserve">   Burner- Repair/Clean/Tune/Calibrate </v>
          </cell>
        </row>
        <row r="17">
          <cell r="B17" t="str">
            <v>Heating</v>
          </cell>
          <cell r="C17" t="str">
            <v xml:space="preserve">   Condensate Receiver- Install/Upgrade/Repair </v>
          </cell>
        </row>
        <row r="18">
          <cell r="B18" t="str">
            <v>Heating</v>
          </cell>
          <cell r="C18" t="str">
            <v xml:space="preserve">   Condensing Boiler/Furnace- Install/Upgrade </v>
          </cell>
        </row>
        <row r="19">
          <cell r="B19" t="str">
            <v>Heating</v>
          </cell>
          <cell r="C19" t="str">
            <v xml:space="preserve">   Controls- Install/Upgrade </v>
          </cell>
        </row>
        <row r="20">
          <cell r="B20" t="str">
            <v>Heating</v>
          </cell>
          <cell r="C20" t="str">
            <v xml:space="preserve">   Controls- Tune/Calibrate </v>
          </cell>
        </row>
        <row r="21">
          <cell r="B21" t="str">
            <v>Heating</v>
          </cell>
          <cell r="C21" t="str">
            <v xml:space="preserve">   Distribution System/Ducts- Balance </v>
          </cell>
        </row>
        <row r="22">
          <cell r="B22" t="str">
            <v>Heating</v>
          </cell>
          <cell r="C22" t="str">
            <v xml:space="preserve">   Distribution System/Ducts- Seal/Improve </v>
          </cell>
        </row>
        <row r="23">
          <cell r="B23" t="str">
            <v>Heating</v>
          </cell>
          <cell r="C23" t="str">
            <v xml:space="preserve">   Flue Damper- Install/Upgrade/Repair </v>
          </cell>
        </row>
        <row r="24">
          <cell r="B24" t="str">
            <v>Heating</v>
          </cell>
          <cell r="C24" t="str">
            <v xml:space="preserve">   Geothermal System (GSHP)- Install </v>
          </cell>
        </row>
        <row r="25">
          <cell r="B25" t="str">
            <v>Heating</v>
          </cell>
          <cell r="C25" t="str">
            <v xml:space="preserve">   Heat Pump- Install/Upgrade/Repair </v>
          </cell>
        </row>
        <row r="26">
          <cell r="B26" t="str">
            <v>Heating</v>
          </cell>
          <cell r="C26" t="str">
            <v xml:space="preserve">   Indoor Temperature Sensors- Install/Upgrade/Reset </v>
          </cell>
        </row>
        <row r="27">
          <cell r="B27" t="str">
            <v>Heating</v>
          </cell>
          <cell r="C27" t="str">
            <v xml:space="preserve">   Outdoor Temperature Sensors- Install/Upgrade/Reset </v>
          </cell>
        </row>
        <row r="28">
          <cell r="B28" t="str">
            <v>Heating</v>
          </cell>
          <cell r="C28" t="str">
            <v xml:space="preserve">   Pipes/Ducts- Insulate </v>
          </cell>
        </row>
        <row r="29">
          <cell r="B29" t="str">
            <v>Heating</v>
          </cell>
          <cell r="C29" t="str">
            <v xml:space="preserve">   Pipes- Repair/Fix Leaks </v>
          </cell>
        </row>
        <row r="30">
          <cell r="B30" t="str">
            <v>Heating</v>
          </cell>
          <cell r="C30" t="str">
            <v xml:space="preserve">   PTAC (no heat pump)- Install/Upgrade </v>
          </cell>
        </row>
        <row r="31">
          <cell r="B31" t="str">
            <v>Heating</v>
          </cell>
          <cell r="C31" t="str">
            <v xml:space="preserve">   PTAC (no heat pump)- Repair </v>
          </cell>
        </row>
        <row r="32">
          <cell r="B32" t="str">
            <v>Heating</v>
          </cell>
          <cell r="C32" t="str">
            <v xml:space="preserve">   Radiators- Decommision </v>
          </cell>
        </row>
        <row r="33">
          <cell r="B33" t="str">
            <v>Heating</v>
          </cell>
          <cell r="C33" t="str">
            <v xml:space="preserve">   Radiators- Install/Upgrade </v>
          </cell>
        </row>
        <row r="34">
          <cell r="B34" t="str">
            <v>Heating</v>
          </cell>
          <cell r="C34" t="str">
            <v xml:space="preserve">   Radiators- Repair/Clean/Correct Pitch </v>
          </cell>
        </row>
        <row r="35">
          <cell r="B35" t="str">
            <v>Heating</v>
          </cell>
          <cell r="C35" t="str">
            <v xml:space="preserve">   Steam Orifices- Install/Upgrade/Repair </v>
          </cell>
        </row>
        <row r="36">
          <cell r="B36" t="str">
            <v>Heating</v>
          </cell>
          <cell r="C36" t="str">
            <v xml:space="preserve">   Steam Traps- Install/Upgrade/Repair </v>
          </cell>
        </row>
        <row r="37">
          <cell r="B37" t="str">
            <v>Heating</v>
          </cell>
          <cell r="C37" t="str">
            <v xml:space="preserve">   Thermostat/Heating System Temperature Setting- Reduce/Adjust </v>
          </cell>
        </row>
        <row r="38">
          <cell r="B38" t="str">
            <v>Heating</v>
          </cell>
          <cell r="C38" t="str">
            <v xml:space="preserve">   Thermostat- Install/Upgrade </v>
          </cell>
        </row>
        <row r="39">
          <cell r="B39" t="str">
            <v>Heating</v>
          </cell>
          <cell r="C39" t="str">
            <v xml:space="preserve">   TRVs (Thermostatic Radiator Valves)- Install </v>
          </cell>
        </row>
        <row r="40">
          <cell r="B40" t="str">
            <v>Heating</v>
          </cell>
          <cell r="C40" t="str">
            <v xml:space="preserve">   Vacuum Pumps- Install/Upgrade/Repair </v>
          </cell>
        </row>
        <row r="41">
          <cell r="B41" t="str">
            <v>Heating</v>
          </cell>
          <cell r="C41" t="str">
            <v xml:space="preserve">   Zone Valves- Install/Upgrade </v>
          </cell>
        </row>
        <row r="42">
          <cell r="B42" t="str">
            <v>Heating</v>
          </cell>
          <cell r="C42" t="str">
            <v xml:space="preserve">   Zone Valves- Repair/Reset </v>
          </cell>
        </row>
        <row r="43">
          <cell r="B43" t="str">
            <v>Heating</v>
          </cell>
          <cell r="C43" t="str">
            <v xml:space="preserve">   Other Heating Improvement </v>
          </cell>
        </row>
        <row r="44">
          <cell r="C44" t="str">
            <v xml:space="preserve">COOLING </v>
          </cell>
        </row>
        <row r="45">
          <cell r="B45" t="str">
            <v>Cooling</v>
          </cell>
          <cell r="C45" t="str">
            <v xml:space="preserve">   AHU (Air Handling Unit)- Install/Upgrade/Repair</v>
          </cell>
        </row>
        <row r="46">
          <cell r="B46" t="str">
            <v>Cooling</v>
          </cell>
          <cell r="C46" t="str">
            <v xml:space="preserve">   AHU (Air Handling Unit)- Repair/Clean </v>
          </cell>
        </row>
        <row r="47">
          <cell r="B47" t="str">
            <v>Cooling</v>
          </cell>
          <cell r="C47" t="str">
            <v xml:space="preserve">   Air Filters- Clean/Replace </v>
          </cell>
        </row>
        <row r="48">
          <cell r="B48" t="str">
            <v>Cooling</v>
          </cell>
          <cell r="C48" t="str">
            <v xml:space="preserve">   BMS/EMS- Install </v>
          </cell>
        </row>
        <row r="49">
          <cell r="B49" t="str">
            <v>Cooling</v>
          </cell>
          <cell r="C49" t="str">
            <v xml:space="preserve">   Chiller- Install/Upgrade </v>
          </cell>
        </row>
        <row r="50">
          <cell r="B50" t="str">
            <v>Cooling</v>
          </cell>
          <cell r="C50" t="str">
            <v xml:space="preserve">   Chiller- Repair </v>
          </cell>
        </row>
        <row r="51">
          <cell r="B51" t="str">
            <v>Cooling</v>
          </cell>
          <cell r="C51" t="str">
            <v xml:space="preserve">   Controls- Install/Upgrade </v>
          </cell>
        </row>
        <row r="52">
          <cell r="B52" t="str">
            <v>Cooling</v>
          </cell>
          <cell r="C52" t="str">
            <v xml:space="preserve">   Controls- Tune/Calibrate </v>
          </cell>
        </row>
        <row r="53">
          <cell r="B53" t="str">
            <v>Cooling</v>
          </cell>
          <cell r="C53" t="str">
            <v xml:space="preserve">   Cooling Tower- Install/Upgrade </v>
          </cell>
        </row>
        <row r="54">
          <cell r="B54" t="str">
            <v>Cooling</v>
          </cell>
          <cell r="C54" t="str">
            <v xml:space="preserve">   Distribution System/Ducts- Balance </v>
          </cell>
        </row>
        <row r="55">
          <cell r="B55" t="str">
            <v>Cooling</v>
          </cell>
          <cell r="C55" t="str">
            <v xml:space="preserve">   Indoor Temperature Sensors- Install/Upgrade/Repair </v>
          </cell>
        </row>
        <row r="56">
          <cell r="B56" t="str">
            <v>Cooling</v>
          </cell>
          <cell r="C56" t="str">
            <v xml:space="preserve">   Outdoor Temperature Sensors- Install/Upgrade/Repair </v>
          </cell>
        </row>
        <row r="57">
          <cell r="B57" t="str">
            <v>Cooling</v>
          </cell>
          <cell r="C57" t="str">
            <v xml:space="preserve">   PTAC (thru-wall A/C)- Install/Upgrade/Repair </v>
          </cell>
        </row>
        <row r="58">
          <cell r="B58" t="str">
            <v>Cooling</v>
          </cell>
          <cell r="C58" t="str">
            <v xml:space="preserve">   RTU (Roof-top unit)- Install/Upgrade </v>
          </cell>
        </row>
        <row r="59">
          <cell r="B59" t="str">
            <v>Cooling</v>
          </cell>
          <cell r="C59" t="str">
            <v xml:space="preserve">   Split System A/C- Install/Upgrade/Repair </v>
          </cell>
        </row>
        <row r="60">
          <cell r="B60" t="str">
            <v>Cooling</v>
          </cell>
          <cell r="C60" t="str">
            <v xml:space="preserve">   Thermostat/Cooling System Temperature Setting- Increase/Adjust </v>
          </cell>
        </row>
        <row r="61">
          <cell r="B61" t="str">
            <v>Cooling</v>
          </cell>
          <cell r="C61" t="str">
            <v xml:space="preserve">   Window A/C Unit- Install/Upgrade/Repair </v>
          </cell>
        </row>
        <row r="62">
          <cell r="B62" t="str">
            <v>Cooling</v>
          </cell>
          <cell r="C62" t="str">
            <v xml:space="preserve">   Other Cooling Improvement </v>
          </cell>
        </row>
        <row r="63">
          <cell r="C63" t="str">
            <v xml:space="preserve">DOMESTIC HOT WATER </v>
          </cell>
        </row>
        <row r="64">
          <cell r="B64" t="str">
            <v>Domestic Hot Water</v>
          </cell>
          <cell r="C64" t="str">
            <v xml:space="preserve">   Condensing Water Heater- Install/Upgrade </v>
          </cell>
        </row>
        <row r="65">
          <cell r="B65" t="str">
            <v>Domestic Hot Water</v>
          </cell>
          <cell r="C65" t="str">
            <v xml:space="preserve">   Controls- Install/Upgrade </v>
          </cell>
        </row>
        <row r="66">
          <cell r="B66" t="str">
            <v>Domestic Hot Water</v>
          </cell>
          <cell r="C66" t="str">
            <v xml:space="preserve">   Controls- Tune/Calibrate </v>
          </cell>
        </row>
        <row r="67">
          <cell r="B67" t="str">
            <v>Domestic Hot Water</v>
          </cell>
          <cell r="C67" t="str">
            <v xml:space="preserve">   Flue Damper- Install/Upgrade/Repair </v>
          </cell>
        </row>
        <row r="68">
          <cell r="B68" t="str">
            <v>Domestic Hot Water</v>
          </cell>
          <cell r="C68" t="str">
            <v xml:space="preserve">   Heat Exchanger- Install/Upgrade/Repair </v>
          </cell>
        </row>
        <row r="69">
          <cell r="B69" t="str">
            <v>Domestic Hot Water</v>
          </cell>
          <cell r="C69" t="str">
            <v xml:space="preserve">   Heat Pump- Install/Upgrade/Repair </v>
          </cell>
        </row>
        <row r="70">
          <cell r="B70" t="str">
            <v>Domestic Hot Water</v>
          </cell>
          <cell r="C70" t="str">
            <v xml:space="preserve">   Mixing Valve Temperature Setting- Reduce/Adjust </v>
          </cell>
        </row>
        <row r="71">
          <cell r="B71" t="str">
            <v>Domestic Hot Water</v>
          </cell>
          <cell r="C71" t="str">
            <v xml:space="preserve">   Mixing Valve- Install/Upgrade </v>
          </cell>
        </row>
        <row r="72">
          <cell r="B72" t="str">
            <v>Domestic Hot Water</v>
          </cell>
          <cell r="C72" t="str">
            <v xml:space="preserve">   Pipes/Distribution System- Balance </v>
          </cell>
        </row>
        <row r="73">
          <cell r="B73" t="str">
            <v>Domestic Hot Water</v>
          </cell>
          <cell r="C73" t="str">
            <v xml:space="preserve">   Pipes/Distribution System- Insulate </v>
          </cell>
        </row>
        <row r="74">
          <cell r="B74" t="str">
            <v>Domestic Hot Water</v>
          </cell>
          <cell r="C74" t="str">
            <v xml:space="preserve">   Pipes- Repair/Fix Leaks </v>
          </cell>
        </row>
        <row r="75">
          <cell r="B75" t="str">
            <v>Domestic Hot Water</v>
          </cell>
          <cell r="C75" t="str">
            <v xml:space="preserve">   Recirculation Temperature Setpoint- Reduce/Adjust </v>
          </cell>
        </row>
        <row r="76">
          <cell r="B76" t="str">
            <v>Domestic Hot Water</v>
          </cell>
          <cell r="C76" t="str">
            <v xml:space="preserve">   Temperature Sensors- Install </v>
          </cell>
        </row>
        <row r="77">
          <cell r="B77" t="str">
            <v>Domestic Hot Water</v>
          </cell>
          <cell r="C77" t="str">
            <v xml:space="preserve">   Temperature Setting- Reduce/Adjust </v>
          </cell>
        </row>
        <row r="78">
          <cell r="B78" t="str">
            <v>Domestic Hot Water</v>
          </cell>
          <cell r="C78" t="str">
            <v xml:space="preserve">   Water Heater- Convert Fuel Type </v>
          </cell>
        </row>
        <row r="79">
          <cell r="B79" t="str">
            <v>Domestic Hot Water</v>
          </cell>
          <cell r="C79" t="str">
            <v xml:space="preserve">   Water Heater- Install Dedicated Water Heater </v>
          </cell>
        </row>
        <row r="80">
          <cell r="B80" t="str">
            <v>Domestic Hot Water</v>
          </cell>
          <cell r="C80" t="str">
            <v xml:space="preserve">   Water Heater- Install/Upgrade </v>
          </cell>
        </row>
        <row r="81">
          <cell r="B81" t="str">
            <v>Domestic Hot Water</v>
          </cell>
          <cell r="C81" t="str">
            <v xml:space="preserve">   Water Heater- Repair/Clean/Tune/Calibrate </v>
          </cell>
        </row>
        <row r="82">
          <cell r="B82" t="str">
            <v>Domestic Hot Water</v>
          </cell>
          <cell r="C82" t="str">
            <v xml:space="preserve">   Other Domestic Hot Water Improvement </v>
          </cell>
        </row>
        <row r="83">
          <cell r="C83" t="str">
            <v xml:space="preserve">WATER </v>
          </cell>
        </row>
        <row r="84">
          <cell r="B84" t="str">
            <v>Water</v>
          </cell>
          <cell r="C84" t="str">
            <v xml:space="preserve">   Irrigation Conservation System -Install/Upgrade </v>
          </cell>
        </row>
        <row r="85">
          <cell r="B85" t="str">
            <v>Water</v>
          </cell>
          <cell r="C85" t="str">
            <v xml:space="preserve">   Leaks- Repair</v>
          </cell>
        </row>
        <row r="86">
          <cell r="B86" t="str">
            <v>Water</v>
          </cell>
          <cell r="C86" t="str">
            <v xml:space="preserve">   Low Flush Toilets- Install </v>
          </cell>
        </row>
        <row r="87">
          <cell r="B87" t="str">
            <v>Water</v>
          </cell>
          <cell r="C87" t="str">
            <v xml:space="preserve">   Low-Flow Faucets/Showerheads- Install </v>
          </cell>
        </row>
        <row r="88">
          <cell r="B88" t="str">
            <v>Water</v>
          </cell>
          <cell r="C88" t="str">
            <v xml:space="preserve">   Water Conserving Fixtures- Install </v>
          </cell>
        </row>
        <row r="89">
          <cell r="B89" t="str">
            <v>Water</v>
          </cell>
          <cell r="C89" t="str">
            <v xml:space="preserve">   Other Water Improvement </v>
          </cell>
        </row>
        <row r="90">
          <cell r="C90" t="str">
            <v xml:space="preserve">VENTILATION </v>
          </cell>
        </row>
        <row r="91">
          <cell r="B91" t="str">
            <v>Ventilation</v>
          </cell>
          <cell r="C91" t="str">
            <v xml:space="preserve">   AHU (Air Handling Unit)- Install/Upgrade </v>
          </cell>
        </row>
        <row r="92">
          <cell r="B92" t="str">
            <v>Ventilation</v>
          </cell>
          <cell r="C92" t="str">
            <v xml:space="preserve">   AHU (Air Handling Unit)- Repair/Clean </v>
          </cell>
        </row>
        <row r="93">
          <cell r="B93" t="str">
            <v>Ventilation</v>
          </cell>
          <cell r="C93" t="str">
            <v xml:space="preserve">   Air Handler Fan- Repair/Upgrade </v>
          </cell>
        </row>
        <row r="94">
          <cell r="B94" t="str">
            <v>Ventilation</v>
          </cell>
          <cell r="C94" t="str">
            <v xml:space="preserve">   Boiler Room Ventilation- Improve </v>
          </cell>
        </row>
        <row r="95">
          <cell r="B95" t="str">
            <v>Ventilation</v>
          </cell>
          <cell r="C95" t="str">
            <v xml:space="preserve">   Electronic Dampers- Install/Upgrade </v>
          </cell>
        </row>
        <row r="96">
          <cell r="B96" t="str">
            <v>Ventilation</v>
          </cell>
          <cell r="C96" t="str">
            <v xml:space="preserve">   Ducts/Distribution System- Balance </v>
          </cell>
        </row>
        <row r="97">
          <cell r="B97" t="str">
            <v>Ventilation</v>
          </cell>
          <cell r="C97" t="str">
            <v xml:space="preserve">   Ducts- Insulate </v>
          </cell>
        </row>
        <row r="98">
          <cell r="B98" t="str">
            <v>Ventilation</v>
          </cell>
          <cell r="C98" t="str">
            <v xml:space="preserve">   Ducts- Repair/Clean/Seal </v>
          </cell>
        </row>
        <row r="99">
          <cell r="B99" t="str">
            <v>Ventilation</v>
          </cell>
          <cell r="C99" t="str">
            <v xml:space="preserve">   Economizer Control- Install/Upgrade </v>
          </cell>
        </row>
        <row r="100">
          <cell r="B100" t="str">
            <v>Ventilation</v>
          </cell>
          <cell r="C100" t="str">
            <v xml:space="preserve">   Economizer- Install/Upgrade </v>
          </cell>
        </row>
        <row r="101">
          <cell r="B101" t="str">
            <v>Ventilation</v>
          </cell>
          <cell r="C101" t="str">
            <v xml:space="preserve">   Exhaust Fan- Install/Upgrade </v>
          </cell>
        </row>
        <row r="102">
          <cell r="B102" t="str">
            <v>Ventilation</v>
          </cell>
          <cell r="C102" t="str">
            <v xml:space="preserve">   Fans- Install/Upgrade </v>
          </cell>
        </row>
        <row r="103">
          <cell r="B103" t="str">
            <v>Ventilation</v>
          </cell>
          <cell r="C103" t="str">
            <v xml:space="preserve">   Fans- Repair </v>
          </cell>
        </row>
        <row r="104">
          <cell r="B104" t="str">
            <v>Ventilation</v>
          </cell>
          <cell r="C104" t="str">
            <v xml:space="preserve">   Flow Rate/CFM- Reduce </v>
          </cell>
        </row>
        <row r="105">
          <cell r="B105" t="str">
            <v>Ventilation</v>
          </cell>
          <cell r="C105" t="str">
            <v xml:space="preserve">   Heat or Energy Recovery Ventilatior (HRV/ERV)- Install/Upgrade </v>
          </cell>
        </row>
        <row r="106">
          <cell r="B106" t="str">
            <v>Ventilation</v>
          </cell>
          <cell r="C106" t="str">
            <v xml:space="preserve">   Roof Fans- Install/Upgrade </v>
          </cell>
        </row>
        <row r="107">
          <cell r="B107" t="str">
            <v>Ventilation</v>
          </cell>
          <cell r="C107" t="str">
            <v xml:space="preserve">   Ventilation System Controls- Install/Upgrade </v>
          </cell>
        </row>
        <row r="108">
          <cell r="B108" t="str">
            <v>Ventilation</v>
          </cell>
          <cell r="C108" t="str">
            <v xml:space="preserve">   Ventilation System Controls- Tune/Calibrate </v>
          </cell>
        </row>
        <row r="109">
          <cell r="B109" t="str">
            <v>Ventilation</v>
          </cell>
          <cell r="C109" t="str">
            <v xml:space="preserve">   Vents/Registers- Clean </v>
          </cell>
        </row>
        <row r="110">
          <cell r="B110" t="str">
            <v>Ventilation</v>
          </cell>
          <cell r="C110" t="str">
            <v xml:space="preserve">   Vents/Registers- Install/Upgrade  </v>
          </cell>
        </row>
        <row r="111">
          <cell r="B111" t="str">
            <v>Ventilation</v>
          </cell>
          <cell r="C111" t="str">
            <v xml:space="preserve">   VFD Exhaust Fan- Install/Upgrade/Repair </v>
          </cell>
        </row>
        <row r="112">
          <cell r="B112" t="str">
            <v>Ventilation</v>
          </cell>
          <cell r="C112" t="str">
            <v xml:space="preserve">   VFD Motor- Install/Upgrade/Repair </v>
          </cell>
        </row>
        <row r="113">
          <cell r="B113" t="str">
            <v>Ventilation</v>
          </cell>
          <cell r="C113" t="str">
            <v xml:space="preserve">   Other Ventilation Measure </v>
          </cell>
        </row>
        <row r="114">
          <cell r="C114" t="str">
            <v xml:space="preserve">BUILDING ENCLOSURE </v>
          </cell>
        </row>
        <row r="115">
          <cell r="B115" t="str">
            <v>Building Enclosure</v>
          </cell>
          <cell r="C115" t="str">
            <v xml:space="preserve">   Apartment Exhaust Grilles- Air-Seal </v>
          </cell>
        </row>
        <row r="116">
          <cell r="B116" t="str">
            <v>Building Enclosure</v>
          </cell>
          <cell r="C116" t="str">
            <v xml:space="preserve">   Building- Air Seal/Weatherstrip </v>
          </cell>
        </row>
        <row r="117">
          <cell r="B117" t="str">
            <v>Building Enclosure</v>
          </cell>
          <cell r="C117" t="str">
            <v xml:space="preserve">   Building- Insulate </v>
          </cell>
        </row>
        <row r="118">
          <cell r="B118" t="str">
            <v>Building Enclosure</v>
          </cell>
          <cell r="C118" t="str">
            <v xml:space="preserve">   Door- Air Seal/Weatherstrip/Replace </v>
          </cell>
        </row>
        <row r="119">
          <cell r="B119" t="str">
            <v>Building Enclosure</v>
          </cell>
          <cell r="C119" t="str">
            <v xml:space="preserve">   In-unit Air Conditioner- Air Seal/Insulate </v>
          </cell>
        </row>
        <row r="120">
          <cell r="B120" t="str">
            <v>Building Enclosure</v>
          </cell>
          <cell r="C120" t="str">
            <v xml:space="preserve">   Leaking Roof/Wall/Floor- Fix </v>
          </cell>
        </row>
        <row r="121">
          <cell r="B121" t="str">
            <v>Building Enclosure</v>
          </cell>
          <cell r="C121" t="str">
            <v xml:space="preserve">   Roof/Attic- Air Seal </v>
          </cell>
        </row>
        <row r="122">
          <cell r="B122" t="str">
            <v>Building Enclosure</v>
          </cell>
          <cell r="C122" t="str">
            <v xml:space="preserve">   Roof/Attic- Insulate </v>
          </cell>
        </row>
        <row r="123">
          <cell r="B123" t="str">
            <v>Building Enclosure</v>
          </cell>
          <cell r="C123" t="str">
            <v xml:space="preserve">   Storm Window- Install </v>
          </cell>
        </row>
        <row r="124">
          <cell r="B124" t="str">
            <v>Building Enclosure</v>
          </cell>
          <cell r="C124" t="str">
            <v xml:space="preserve">   Wall- Air Seal </v>
          </cell>
        </row>
        <row r="125">
          <cell r="B125" t="str">
            <v>Building Enclosure</v>
          </cell>
          <cell r="C125" t="str">
            <v xml:space="preserve">   Wall- Insulate </v>
          </cell>
        </row>
        <row r="126">
          <cell r="B126" t="str">
            <v>Building Enclosure</v>
          </cell>
          <cell r="C126" t="str">
            <v xml:space="preserve">   Window- Air Seal/Weatherstrip </v>
          </cell>
        </row>
        <row r="127">
          <cell r="B127" t="str">
            <v>Building Enclosure</v>
          </cell>
          <cell r="C127" t="str">
            <v xml:space="preserve">   Window- Repair </v>
          </cell>
        </row>
        <row r="128">
          <cell r="B128" t="str">
            <v>Building Enclosure</v>
          </cell>
          <cell r="C128" t="str">
            <v xml:space="preserve">   Window- Replace </v>
          </cell>
        </row>
        <row r="129">
          <cell r="B129" t="str">
            <v>Building Enclosure</v>
          </cell>
          <cell r="C129" t="str">
            <v xml:space="preserve">   Other Building Enclosure Improvement </v>
          </cell>
        </row>
        <row r="130">
          <cell r="C130" t="str">
            <v xml:space="preserve">LIGHTING </v>
          </cell>
        </row>
        <row r="131">
          <cell r="B131" t="str">
            <v>Lighting</v>
          </cell>
          <cell r="C131" t="str">
            <v xml:space="preserve">   Bi-Level Lighting- Install </v>
          </cell>
        </row>
        <row r="132">
          <cell r="B132" t="str">
            <v>Lighting</v>
          </cell>
          <cell r="C132" t="str">
            <v xml:space="preserve">   Building Ligthing- Upgrade </v>
          </cell>
        </row>
        <row r="133">
          <cell r="B133" t="str">
            <v>Lighting</v>
          </cell>
          <cell r="C133" t="str">
            <v xml:space="preserve">   Commercial Space Lighting- Upgrade </v>
          </cell>
        </row>
        <row r="134">
          <cell r="B134" t="str">
            <v>Lighting</v>
          </cell>
          <cell r="C134" t="str">
            <v xml:space="preserve">   Common Area Lighting- Upgrade </v>
          </cell>
        </row>
        <row r="135">
          <cell r="B135" t="str">
            <v>Lighting</v>
          </cell>
          <cell r="C135" t="str">
            <v xml:space="preserve">   Exterior Lighting- Upgrade </v>
          </cell>
        </row>
        <row r="136">
          <cell r="B136" t="str">
            <v>Lighting</v>
          </cell>
          <cell r="C136" t="str">
            <v xml:space="preserve">   In-Unit Lighting- Upgrade </v>
          </cell>
        </row>
        <row r="137">
          <cell r="B137" t="str">
            <v>Lighting</v>
          </cell>
          <cell r="C137" t="str">
            <v xml:space="preserve">   Lighting Controls/Sensors/Timers- Install/Upgrade </v>
          </cell>
        </row>
        <row r="138">
          <cell r="B138" t="str">
            <v>Lighting</v>
          </cell>
          <cell r="C138" t="str">
            <v xml:space="preserve">   Other Lighting Improvement </v>
          </cell>
        </row>
        <row r="139">
          <cell r="C139" t="str">
            <v xml:space="preserve">APPLIANCES </v>
          </cell>
        </row>
        <row r="140">
          <cell r="B140" t="str">
            <v>Appliances</v>
          </cell>
          <cell r="C140" t="str">
            <v xml:space="preserve">   Commercial Kitchen Appliances- Install/Upgrade </v>
          </cell>
        </row>
        <row r="141">
          <cell r="B141" t="str">
            <v>Appliances</v>
          </cell>
          <cell r="C141" t="str">
            <v xml:space="preserve">   Dishwashers- Install/Upgrade </v>
          </cell>
        </row>
        <row r="142">
          <cell r="B142" t="str">
            <v>Appliances</v>
          </cell>
          <cell r="C142" t="str">
            <v xml:space="preserve">   Dryers- Fuel Conversion </v>
          </cell>
        </row>
        <row r="143">
          <cell r="B143" t="str">
            <v>Appliances</v>
          </cell>
          <cell r="C143" t="str">
            <v xml:space="preserve">   Dryers- Install/Upgrade </v>
          </cell>
        </row>
        <row r="144">
          <cell r="B144" t="str">
            <v>Appliances</v>
          </cell>
          <cell r="C144" t="str">
            <v xml:space="preserve">   ENERGY STAR Dishwashers- Install/Upgrade </v>
          </cell>
        </row>
        <row r="145">
          <cell r="B145" t="str">
            <v>Appliances</v>
          </cell>
          <cell r="C145" t="str">
            <v xml:space="preserve">   ENERGY STAR Refrigerators- Install/Upgrade </v>
          </cell>
        </row>
        <row r="146">
          <cell r="B146" t="str">
            <v>Appliances</v>
          </cell>
          <cell r="C146" t="str">
            <v xml:space="preserve">   ENERGY STAR Washing Machines- Install/Upgrade </v>
          </cell>
        </row>
        <row r="147">
          <cell r="B147" t="str">
            <v>Appliances</v>
          </cell>
          <cell r="C147" t="str">
            <v xml:space="preserve">   Refrigerators- Install/Upgrade </v>
          </cell>
        </row>
        <row r="148">
          <cell r="B148" t="str">
            <v>Appliances</v>
          </cell>
          <cell r="C148" t="str">
            <v xml:space="preserve">   Vending Machine Control- Install/Upgrade </v>
          </cell>
        </row>
        <row r="149">
          <cell r="B149" t="str">
            <v>Appliances</v>
          </cell>
          <cell r="C149" t="str">
            <v xml:space="preserve">   Washing Machines- Install/Upgrade </v>
          </cell>
        </row>
        <row r="150">
          <cell r="B150" t="str">
            <v>Appliances</v>
          </cell>
          <cell r="C150" t="str">
            <v xml:space="preserve">   Other Appliance Improvement </v>
          </cell>
        </row>
        <row r="151">
          <cell r="C151" t="str">
            <v xml:space="preserve">PUMPS/MOTORS </v>
          </cell>
        </row>
        <row r="152">
          <cell r="B152" t="str">
            <v>Pumps/Motors</v>
          </cell>
          <cell r="C152" t="str">
            <v xml:space="preserve">   Cooling Pumps- Install/Upgrade </v>
          </cell>
        </row>
        <row r="153">
          <cell r="B153" t="str">
            <v>Pumps/Motors</v>
          </cell>
          <cell r="C153" t="str">
            <v xml:space="preserve">   Heating Pumps- Install/Upgrade </v>
          </cell>
        </row>
        <row r="154">
          <cell r="B154" t="str">
            <v>Pumps/Motors</v>
          </cell>
          <cell r="C154" t="str">
            <v xml:space="preserve">   High-Efficiency/VFD Pumps/Motors-Install </v>
          </cell>
        </row>
        <row r="155">
          <cell r="B155" t="str">
            <v>Pumps/Motors</v>
          </cell>
          <cell r="C155" t="str">
            <v xml:space="preserve">   Pump/Motor Controls- Upgrade </v>
          </cell>
        </row>
        <row r="156">
          <cell r="B156" t="str">
            <v>Pumps/Motors</v>
          </cell>
          <cell r="C156" t="str">
            <v xml:space="preserve">   Pumps/Motors- Install/Upgrade </v>
          </cell>
        </row>
        <row r="157">
          <cell r="B157" t="str">
            <v>Pumps/Motors</v>
          </cell>
          <cell r="C157" t="str">
            <v xml:space="preserve">   Pumps/Motors- Repair </v>
          </cell>
        </row>
        <row r="158">
          <cell r="B158" t="str">
            <v>Pumps/Motors</v>
          </cell>
          <cell r="C158" t="str">
            <v xml:space="preserve">   Water Booster Pumps- Install/Upgrade </v>
          </cell>
        </row>
        <row r="159">
          <cell r="B159" t="str">
            <v>Pumps/Motors</v>
          </cell>
          <cell r="C159" t="str">
            <v xml:space="preserve">   Other Pump/Motor Improvement </v>
          </cell>
        </row>
        <row r="160">
          <cell r="C160" t="str">
            <v>On-Site Generation</v>
          </cell>
        </row>
        <row r="161">
          <cell r="B161" t="str">
            <v>On-Site Generation</v>
          </cell>
          <cell r="C161" t="str">
            <v xml:space="preserve">   Feasability Assessment </v>
          </cell>
        </row>
        <row r="162">
          <cell r="B162" t="str">
            <v>On-Site Generation</v>
          </cell>
          <cell r="C162" t="str">
            <v xml:space="preserve">   Solar PV- Install </v>
          </cell>
        </row>
        <row r="163">
          <cell r="B163" t="str">
            <v>On-Site Generation</v>
          </cell>
          <cell r="C163" t="str">
            <v xml:space="preserve">   Solar Thermal- Install </v>
          </cell>
        </row>
        <row r="164">
          <cell r="B164" t="str">
            <v>On-Site Generation</v>
          </cell>
          <cell r="C164" t="str">
            <v xml:space="preserve">   Wind Turbine- Install </v>
          </cell>
        </row>
        <row r="165">
          <cell r="B165" t="str">
            <v>On-Site Generation</v>
          </cell>
          <cell r="C165" t="str">
            <v xml:space="preserve">   Other Renewable Energy Improvement </v>
          </cell>
        </row>
        <row r="166">
          <cell r="C166" t="str">
            <v xml:space="preserve">    Cogeneration System- Install  </v>
          </cell>
        </row>
        <row r="167">
          <cell r="B167" t="str">
            <v>Operations and Maintenance</v>
          </cell>
          <cell r="C167" t="str">
            <v>OPERATIONS AND MAINTENANCE</v>
          </cell>
        </row>
        <row r="168">
          <cell r="B168" t="str">
            <v>Operations and Maintenance</v>
          </cell>
          <cell r="C168" t="str">
            <v xml:space="preserve">   Building O&amp;M Schedule- Implement </v>
          </cell>
        </row>
        <row r="169">
          <cell r="B169" t="str">
            <v>Operations and Maintenance</v>
          </cell>
          <cell r="C169" t="str">
            <v xml:space="preserve">   Building Staff Energy Education- Conduct </v>
          </cell>
        </row>
        <row r="170">
          <cell r="B170" t="str">
            <v>Operations and Maintenance</v>
          </cell>
          <cell r="C170" t="str">
            <v xml:space="preserve">   Preventative Maintenance Schedule- Implement </v>
          </cell>
        </row>
        <row r="171">
          <cell r="B171" t="str">
            <v>Operations and Maintenance</v>
          </cell>
          <cell r="C171" t="str">
            <v xml:space="preserve">   Tenant/Occupant Energy Education- Conduct </v>
          </cell>
        </row>
        <row r="172">
          <cell r="B172" t="str">
            <v>Operations and Maintenance</v>
          </cell>
          <cell r="C172" t="str">
            <v xml:space="preserve">   Other O&amp;M Improvement </v>
          </cell>
        </row>
        <row r="173">
          <cell r="B173" t="str">
            <v>Non-Energy Saving</v>
          </cell>
          <cell r="C173" t="str">
            <v xml:space="preserve">NON-ENERGY SAVING </v>
          </cell>
        </row>
        <row r="174">
          <cell r="B174" t="str">
            <v>Non-Energy Saving</v>
          </cell>
          <cell r="C174" t="str">
            <v xml:space="preserve">   CO Monitors- Install/Upgrade </v>
          </cell>
        </row>
        <row r="175">
          <cell r="B175" t="str">
            <v>Non-Energy Saving</v>
          </cell>
          <cell r="C175" t="str">
            <v xml:space="preserve">   Energy Audit- Conduct </v>
          </cell>
        </row>
        <row r="176">
          <cell r="B176" t="str">
            <v>Non-Energy Saving</v>
          </cell>
          <cell r="C176" t="str">
            <v xml:space="preserve">   Energy Benchmark- Conduct </v>
          </cell>
        </row>
        <row r="177">
          <cell r="B177" t="str">
            <v>Non-Energy Saving</v>
          </cell>
          <cell r="C177" t="str">
            <v xml:space="preserve">   Energy Disclosure Law- Achieve Compliance </v>
          </cell>
        </row>
        <row r="178">
          <cell r="B178" t="str">
            <v>Non-Energy Saving</v>
          </cell>
          <cell r="C178" t="str">
            <v xml:space="preserve">   Energy Supplier Tariff- Change </v>
          </cell>
        </row>
        <row r="179">
          <cell r="B179" t="str">
            <v>Non-Energy Saving</v>
          </cell>
          <cell r="C179" t="str">
            <v xml:space="preserve">   Smoke Detectors- Install/Upgrade </v>
          </cell>
        </row>
        <row r="180">
          <cell r="B180" t="str">
            <v>Non-Energy Saving</v>
          </cell>
          <cell r="C180" t="str">
            <v xml:space="preserve">   Other Non-Energy Saving Improvement </v>
          </cell>
        </row>
        <row r="181">
          <cell r="B181" t="str">
            <v>Other</v>
          </cell>
          <cell r="C181" t="str">
            <v xml:space="preserve">OTHER </v>
          </cell>
        </row>
        <row r="182">
          <cell r="B182" t="str">
            <v>Other</v>
          </cell>
          <cell r="C182" t="str">
            <v xml:space="preserve">    Elevator- Reduce Operating Hours  </v>
          </cell>
        </row>
        <row r="183">
          <cell r="B183" t="str">
            <v>Other</v>
          </cell>
          <cell r="C183" t="str">
            <v xml:space="preserve">    Elevator- Reduce Operating Hours  </v>
          </cell>
        </row>
        <row r="184">
          <cell r="B184" t="str">
            <v>Other</v>
          </cell>
          <cell r="C184" t="str">
            <v xml:space="preserve">    Other  </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roup 1"/>
      <sheetName val="Base Calc"/>
      <sheetName val="Lowrise Indoor Water Use"/>
      <sheetName val="Lowrise Wastewater Use"/>
      <sheetName val="Summary D+C"/>
      <sheetName val="Summary O+M"/>
      <sheetName val="Summary ND"/>
    </sheetNames>
    <sheetDataSet>
      <sheetData sheetId="0">
        <row r="44">
          <cell r="C44" t="str">
            <v>Toilet (male)</v>
          </cell>
        </row>
        <row r="45">
          <cell r="C45" t="str">
            <v>Toilet (female)</v>
          </cell>
        </row>
        <row r="46">
          <cell r="C46" t="str">
            <v>Urinal</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ender Validation"/>
      <sheetName val="Check Errors"/>
      <sheetName val="QC Ranges"/>
      <sheetName val="EWEMQC"/>
      <sheetName val="Input-Property"/>
      <sheetName val="Input-Utilities"/>
      <sheetName val="Input-WaterCalc"/>
      <sheetName val="Input-Solar"/>
      <sheetName val="Input-EWEMs"/>
      <sheetName val="Assumptions"/>
      <sheetName val="DB-Loans"/>
      <sheetName val="DB-Properties"/>
      <sheetName val="DB-Utilities"/>
      <sheetName val="DB-InUnitUtilities"/>
      <sheetName val="DB-WaterCalc"/>
      <sheetName val="DB-Solar"/>
      <sheetName val="DB-EWEM"/>
      <sheetName val="DB-EWEMAdjusted"/>
      <sheetName val="Report-Utilities"/>
      <sheetName val="Report-EWEMCostSavings"/>
      <sheetName val="Report-EWEMConsSavings"/>
      <sheetName val="Dropdowns"/>
      <sheetName val="Reference-MeasureList"/>
      <sheetName val="Reference-MeasureList EULs"/>
      <sheetName val="MeasureList"/>
      <sheetName val="4099h Aug18 V2 - mock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K34"/>
  <sheetViews>
    <sheetView showGridLines="0" tabSelected="1" zoomScaleNormal="100" workbookViewId="0">
      <selection activeCell="C4" sqref="C4:K4"/>
    </sheetView>
  </sheetViews>
  <sheetFormatPr baseColWidth="10" defaultColWidth="9.1640625" defaultRowHeight="15" x14ac:dyDescent="0.2"/>
  <cols>
    <col min="1" max="2" width="2.5" style="10" customWidth="1"/>
    <col min="3" max="3" width="3.5" style="10" customWidth="1"/>
    <col min="4" max="4" width="26.1640625" style="10" customWidth="1"/>
    <col min="5" max="9" width="9.1640625" style="10"/>
    <col min="10" max="10" width="14.5" style="10" customWidth="1"/>
    <col min="11" max="11" width="13.1640625" style="10" customWidth="1"/>
    <col min="12" max="12" width="4" style="10" customWidth="1"/>
    <col min="13" max="16384" width="9.1640625" style="10"/>
  </cols>
  <sheetData>
    <row r="1" spans="1:11" ht="23.25" customHeight="1" x14ac:dyDescent="0.2">
      <c r="A1" s="7" t="s">
        <v>333</v>
      </c>
      <c r="B1" s="8"/>
      <c r="C1" s="9"/>
      <c r="D1" s="9"/>
      <c r="E1" s="9"/>
      <c r="F1" s="9"/>
      <c r="G1" s="9"/>
      <c r="H1" s="9"/>
      <c r="I1" s="9"/>
    </row>
    <row r="2" spans="1:11" ht="23.25" customHeight="1" x14ac:dyDescent="0.2">
      <c r="A2" s="7"/>
      <c r="B2" s="8"/>
      <c r="C2" s="9"/>
      <c r="D2" s="9"/>
      <c r="E2" s="9"/>
      <c r="F2" s="9"/>
      <c r="G2" s="9"/>
      <c r="H2" s="9"/>
      <c r="I2" s="9"/>
    </row>
    <row r="3" spans="1:11" ht="23.25" customHeight="1" x14ac:dyDescent="0.2">
      <c r="A3" s="7"/>
      <c r="B3" s="8"/>
      <c r="C3" s="9"/>
      <c r="D3" s="9"/>
      <c r="E3" s="9"/>
      <c r="F3" s="9"/>
      <c r="G3" s="9"/>
      <c r="H3" s="9"/>
      <c r="I3" s="9"/>
    </row>
    <row r="4" spans="1:11" ht="48.75" customHeight="1" x14ac:dyDescent="0.3">
      <c r="C4" s="385" t="s">
        <v>349</v>
      </c>
      <c r="D4" s="385"/>
      <c r="E4" s="385"/>
      <c r="F4" s="385"/>
      <c r="G4" s="385"/>
      <c r="H4" s="385"/>
      <c r="I4" s="385"/>
      <c r="J4" s="385"/>
      <c r="K4" s="385"/>
    </row>
    <row r="5" spans="1:11" ht="25.5" customHeight="1" x14ac:dyDescent="0.25">
      <c r="C5" s="386" t="s">
        <v>467</v>
      </c>
      <c r="D5" s="386"/>
      <c r="E5" s="386"/>
      <c r="F5" s="386"/>
      <c r="G5" s="386"/>
      <c r="H5" s="386"/>
      <c r="I5" s="386"/>
      <c r="J5" s="386"/>
      <c r="K5" s="386"/>
    </row>
    <row r="6" spans="1:11" ht="38.25" customHeight="1" thickBot="1" x14ac:dyDescent="0.25">
      <c r="C6" s="11" t="s">
        <v>0</v>
      </c>
      <c r="D6" s="12"/>
      <c r="E6" s="12"/>
      <c r="F6" s="12"/>
      <c r="G6" s="12"/>
      <c r="H6" s="12"/>
      <c r="I6" s="12"/>
      <c r="J6" s="12"/>
      <c r="K6" s="12"/>
    </row>
    <row r="7" spans="1:11" s="13" customFormat="1" ht="14" customHeight="1" x14ac:dyDescent="0.2"/>
    <row r="8" spans="1:11" s="13" customFormat="1" ht="31.5" customHeight="1" x14ac:dyDescent="0.2">
      <c r="D8" s="14" t="s">
        <v>1</v>
      </c>
      <c r="E8" s="387" t="s">
        <v>324</v>
      </c>
      <c r="F8" s="388"/>
      <c r="G8" s="388"/>
      <c r="H8" s="388"/>
      <c r="I8" s="388"/>
      <c r="J8" s="388"/>
      <c r="K8" s="389"/>
    </row>
    <row r="9" spans="1:11" s="13" customFormat="1" ht="31.5" customHeight="1" x14ac:dyDescent="0.2">
      <c r="D9" s="15" t="s">
        <v>180</v>
      </c>
      <c r="E9" s="387" t="s">
        <v>325</v>
      </c>
      <c r="F9" s="388"/>
      <c r="G9" s="388"/>
      <c r="H9" s="388"/>
      <c r="I9" s="388"/>
      <c r="J9" s="388"/>
      <c r="K9" s="389"/>
    </row>
    <row r="10" spans="1:11" s="13" customFormat="1" ht="18" customHeight="1" x14ac:dyDescent="0.2">
      <c r="D10" s="16" t="s">
        <v>129</v>
      </c>
      <c r="E10" s="384" t="s">
        <v>326</v>
      </c>
      <c r="F10" s="384"/>
      <c r="G10" s="384"/>
      <c r="H10" s="384"/>
      <c r="I10" s="384"/>
      <c r="J10" s="384"/>
      <c r="K10" s="384"/>
    </row>
    <row r="11" spans="1:11" s="13" customFormat="1" ht="18" customHeight="1" x14ac:dyDescent="0.2">
      <c r="D11" s="16" t="s">
        <v>216</v>
      </c>
      <c r="E11" s="384"/>
      <c r="F11" s="384"/>
      <c r="G11" s="384"/>
      <c r="H11" s="384"/>
      <c r="I11" s="384"/>
      <c r="J11" s="384"/>
      <c r="K11" s="384"/>
    </row>
    <row r="12" spans="1:11" s="13" customFormat="1" ht="18" customHeight="1" x14ac:dyDescent="0.2">
      <c r="D12" s="16" t="s">
        <v>430</v>
      </c>
      <c r="E12" s="384"/>
      <c r="F12" s="384"/>
      <c r="G12" s="384"/>
      <c r="H12" s="384"/>
      <c r="I12" s="384"/>
      <c r="J12" s="384"/>
      <c r="K12" s="384"/>
    </row>
    <row r="13" spans="1:11" s="13" customFormat="1" ht="18" customHeight="1" x14ac:dyDescent="0.2">
      <c r="D13" s="16" t="s">
        <v>431</v>
      </c>
      <c r="E13" s="384"/>
      <c r="F13" s="384"/>
      <c r="G13" s="384"/>
      <c r="H13" s="384"/>
      <c r="I13" s="384"/>
      <c r="J13" s="384"/>
      <c r="K13" s="384"/>
    </row>
    <row r="14" spans="1:11" s="13" customFormat="1" ht="18" customHeight="1" x14ac:dyDescent="0.2">
      <c r="D14" s="16" t="s">
        <v>130</v>
      </c>
      <c r="E14" s="384"/>
      <c r="F14" s="384"/>
      <c r="G14" s="384"/>
      <c r="H14" s="384"/>
      <c r="I14" s="384"/>
      <c r="J14" s="384"/>
      <c r="K14" s="384"/>
    </row>
    <row r="15" spans="1:11" s="13" customFormat="1" ht="18" hidden="1" customHeight="1" x14ac:dyDescent="0.2">
      <c r="D15" s="16" t="s">
        <v>7</v>
      </c>
      <c r="E15" s="384"/>
      <c r="F15" s="384"/>
      <c r="G15" s="384"/>
      <c r="H15" s="384"/>
      <c r="I15" s="384"/>
      <c r="J15" s="384"/>
      <c r="K15" s="384"/>
    </row>
    <row r="16" spans="1:11" s="13" customFormat="1" ht="18" hidden="1" customHeight="1" x14ac:dyDescent="0.2">
      <c r="D16" s="17"/>
      <c r="E16" s="384" t="s">
        <v>327</v>
      </c>
      <c r="F16" s="384"/>
      <c r="G16" s="384"/>
      <c r="H16" s="384"/>
      <c r="I16" s="384"/>
      <c r="J16" s="384"/>
      <c r="K16" s="384"/>
    </row>
    <row r="17" spans="2:11" s="13" customFormat="1" ht="18" hidden="1" customHeight="1" x14ac:dyDescent="0.2">
      <c r="D17" s="17"/>
      <c r="E17" s="384"/>
      <c r="F17" s="384"/>
      <c r="G17" s="384"/>
      <c r="H17" s="384"/>
      <c r="I17" s="384"/>
      <c r="J17" s="384"/>
      <c r="K17" s="384"/>
    </row>
    <row r="18" spans="2:11" s="13" customFormat="1" ht="18" hidden="1" customHeight="1" x14ac:dyDescent="0.2">
      <c r="D18" s="17"/>
      <c r="E18" s="384"/>
      <c r="F18" s="384"/>
      <c r="G18" s="384"/>
      <c r="H18" s="384"/>
      <c r="I18" s="384"/>
      <c r="J18" s="384"/>
      <c r="K18" s="384"/>
    </row>
    <row r="19" spans="2:11" s="13" customFormat="1" ht="18" hidden="1" customHeight="1" x14ac:dyDescent="0.2">
      <c r="C19" s="18"/>
      <c r="D19" s="19"/>
      <c r="E19" s="384"/>
      <c r="F19" s="384"/>
      <c r="G19" s="384"/>
      <c r="H19" s="384"/>
      <c r="I19" s="384"/>
      <c r="J19" s="384"/>
      <c r="K19" s="384"/>
    </row>
    <row r="20" spans="2:11" s="13" customFormat="1" ht="14" customHeight="1" x14ac:dyDescent="0.2">
      <c r="C20" s="18"/>
      <c r="D20" s="20"/>
      <c r="E20" s="20"/>
      <c r="F20" s="20"/>
      <c r="G20" s="20"/>
      <c r="H20" s="20"/>
      <c r="I20" s="20"/>
      <c r="J20" s="20"/>
      <c r="K20" s="20"/>
    </row>
    <row r="21" spans="2:11" s="13" customFormat="1" ht="25.5" customHeight="1" thickBot="1" x14ac:dyDescent="0.25">
      <c r="C21" s="11" t="s">
        <v>2</v>
      </c>
      <c r="D21" s="12"/>
      <c r="E21" s="12"/>
      <c r="F21" s="12"/>
      <c r="G21" s="12"/>
      <c r="H21" s="12"/>
      <c r="I21" s="12"/>
      <c r="J21" s="12"/>
      <c r="K21" s="12"/>
    </row>
    <row r="22" spans="2:11" s="13" customFormat="1" ht="15" customHeight="1" x14ac:dyDescent="0.2">
      <c r="C22" s="21"/>
    </row>
    <row r="23" spans="2:11" s="13" customFormat="1" ht="21" customHeight="1" x14ac:dyDescent="0.2">
      <c r="C23" s="22" t="s">
        <v>100</v>
      </c>
    </row>
    <row r="24" spans="2:11" s="23" customFormat="1" ht="22.5" customHeight="1" x14ac:dyDescent="0.2">
      <c r="C24" s="24" t="s">
        <v>3</v>
      </c>
      <c r="D24" s="383" t="s">
        <v>328</v>
      </c>
      <c r="E24" s="383"/>
      <c r="F24" s="383"/>
      <c r="G24" s="383"/>
      <c r="H24" s="383"/>
      <c r="I24" s="383"/>
      <c r="J24" s="383"/>
      <c r="K24" s="383"/>
    </row>
    <row r="25" spans="2:11" s="23" customFormat="1" ht="21" customHeight="1" x14ac:dyDescent="0.2">
      <c r="C25" s="24" t="s">
        <v>4</v>
      </c>
      <c r="D25" s="383" t="s">
        <v>427</v>
      </c>
      <c r="E25" s="383"/>
      <c r="F25" s="383"/>
      <c r="G25" s="383"/>
      <c r="H25" s="383"/>
      <c r="I25" s="383"/>
      <c r="J25" s="383"/>
      <c r="K25" s="383"/>
    </row>
    <row r="26" spans="2:11" s="23" customFormat="1" ht="37.5" customHeight="1" x14ac:dyDescent="0.2">
      <c r="C26" s="24" t="s">
        <v>5</v>
      </c>
      <c r="D26" s="383" t="s">
        <v>428</v>
      </c>
      <c r="E26" s="383"/>
      <c r="F26" s="383"/>
      <c r="G26" s="383"/>
      <c r="H26" s="383"/>
      <c r="I26" s="383"/>
      <c r="J26" s="383"/>
      <c r="K26" s="383"/>
    </row>
    <row r="27" spans="2:11" s="25" customFormat="1" ht="22.5" customHeight="1" x14ac:dyDescent="0.2">
      <c r="C27" s="22" t="s">
        <v>6</v>
      </c>
      <c r="D27" s="26"/>
      <c r="E27" s="26"/>
      <c r="F27" s="26"/>
      <c r="G27" s="26"/>
      <c r="H27" s="26"/>
      <c r="I27" s="26"/>
      <c r="J27" s="26"/>
      <c r="K27" s="26"/>
    </row>
    <row r="28" spans="2:11" s="23" customFormat="1" ht="22.5" customHeight="1" x14ac:dyDescent="0.2">
      <c r="C28" s="24" t="s">
        <v>3</v>
      </c>
      <c r="D28" s="383" t="s">
        <v>329</v>
      </c>
      <c r="E28" s="383"/>
      <c r="F28" s="383"/>
      <c r="G28" s="383"/>
      <c r="H28" s="383"/>
      <c r="I28" s="383"/>
      <c r="J28" s="383"/>
      <c r="K28" s="383"/>
    </row>
    <row r="29" spans="2:11" s="23" customFormat="1" ht="21.75" customHeight="1" x14ac:dyDescent="0.2">
      <c r="C29" s="24" t="s">
        <v>4</v>
      </c>
      <c r="D29" s="383" t="s">
        <v>429</v>
      </c>
      <c r="E29" s="383"/>
      <c r="F29" s="383"/>
      <c r="G29" s="383"/>
      <c r="H29" s="383"/>
      <c r="I29" s="383"/>
      <c r="J29" s="383"/>
      <c r="K29" s="383"/>
    </row>
    <row r="30" spans="2:11" s="23" customFormat="1" ht="24" customHeight="1" x14ac:dyDescent="0.2">
      <c r="B30" s="23" t="s">
        <v>323</v>
      </c>
      <c r="C30" s="24" t="s">
        <v>5</v>
      </c>
      <c r="D30" s="383" t="s">
        <v>330</v>
      </c>
      <c r="E30" s="383"/>
      <c r="F30" s="383"/>
      <c r="G30" s="383"/>
      <c r="H30" s="383"/>
      <c r="I30" s="383"/>
      <c r="J30" s="383"/>
      <c r="K30" s="383"/>
    </row>
    <row r="31" spans="2:11" s="23" customFormat="1" ht="24" customHeight="1" x14ac:dyDescent="0.2">
      <c r="C31" s="24" t="s">
        <v>181</v>
      </c>
      <c r="D31" s="383" t="s">
        <v>318</v>
      </c>
      <c r="E31" s="383"/>
      <c r="F31" s="383"/>
      <c r="G31" s="383"/>
      <c r="H31" s="383"/>
      <c r="I31" s="383"/>
      <c r="J31" s="383"/>
      <c r="K31" s="383"/>
    </row>
    <row r="32" spans="2:11" s="23" customFormat="1" ht="44.25" customHeight="1" x14ac:dyDescent="0.2">
      <c r="C32" s="24" t="s">
        <v>186</v>
      </c>
      <c r="D32" s="383" t="s">
        <v>231</v>
      </c>
      <c r="E32" s="383"/>
      <c r="F32" s="383"/>
      <c r="G32" s="383"/>
      <c r="H32" s="383"/>
      <c r="I32" s="383"/>
      <c r="J32" s="383"/>
      <c r="K32" s="383"/>
    </row>
    <row r="33" spans="3:11" s="23" customFormat="1" ht="24" customHeight="1" x14ac:dyDescent="0.2">
      <c r="C33" s="24"/>
      <c r="D33" s="241"/>
      <c r="E33" s="241"/>
      <c r="F33" s="241"/>
      <c r="G33" s="241"/>
      <c r="H33" s="241"/>
      <c r="I33" s="241"/>
      <c r="J33" s="241"/>
      <c r="K33" s="241"/>
    </row>
    <row r="34" spans="3:11" s="23" customFormat="1" ht="28.5" customHeight="1" x14ac:dyDescent="0.2"/>
  </sheetData>
  <sheetProtection algorithmName="SHA-512" hashValue="pPfVApKl3cCfRex5Vnxg6euXv9E+wEiYDY150MEt6e7hXWSaGSfZ9qrJuNtDjC7147hzO2ZXmRg49Q3jt4OncA==" saltValue="IORCI+0ErIM2fsS4T5ZQ3w==" spinCount="100000" sheet="1" objects="1" scenarios="1"/>
  <mergeCells count="15">
    <mergeCell ref="D32:K32"/>
    <mergeCell ref="E16:K18"/>
    <mergeCell ref="C4:K4"/>
    <mergeCell ref="C5:K5"/>
    <mergeCell ref="E8:K8"/>
    <mergeCell ref="E9:K9"/>
    <mergeCell ref="E10:K15"/>
    <mergeCell ref="D30:K30"/>
    <mergeCell ref="D31:K31"/>
    <mergeCell ref="E19:K19"/>
    <mergeCell ref="D24:K24"/>
    <mergeCell ref="D25:K25"/>
    <mergeCell ref="D26:K26"/>
    <mergeCell ref="D28:K28"/>
    <mergeCell ref="D29:K29"/>
  </mergeCells>
  <pageMargins left="0.7" right="0.7" top="0.75" bottom="0.75" header="0.3" footer="0.3"/>
  <pageSetup paperSize="5" scale="84" orientation="portrait" r:id="rId1"/>
  <headerFooter>
    <oddFooter>&amp;L&amp;"Source Sans Pro,Regular"&amp;9 © 2023 Fannie Mae.Trademarks of Fannie Mae. _x000D_&amp;1#&amp;"Calibri"&amp;10&amp;K000000 Fannie Mae Confidential&amp;C&amp;"Source Sans Pro,Regular"&amp;9&amp;A&amp;R&amp;"Source Sans Pro,Regular"&amp;9 Form 4099.I -  October 2023 Solar Rewards Intake Form</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AH30"/>
  <sheetViews>
    <sheetView zoomScale="90" zoomScaleNormal="90" zoomScalePageLayoutView="70" workbookViewId="0"/>
  </sheetViews>
  <sheetFormatPr baseColWidth="10" defaultColWidth="8.83203125" defaultRowHeight="15" x14ac:dyDescent="0.2"/>
  <cols>
    <col min="1" max="1" width="27.6640625" style="10" customWidth="1"/>
    <col min="2" max="2" width="37.33203125" style="10" customWidth="1"/>
    <col min="3" max="3" width="19.1640625" style="10" customWidth="1"/>
    <col min="4" max="4" width="18.33203125" style="10" customWidth="1"/>
    <col min="5" max="5" width="33.33203125" style="10" customWidth="1"/>
    <col min="6" max="6" width="8.83203125" style="10"/>
    <col min="7" max="7" width="17.33203125" style="10" customWidth="1"/>
    <col min="8" max="8" width="18.1640625" style="10" customWidth="1"/>
    <col min="9" max="9" width="22.5" style="10" customWidth="1"/>
    <col min="10" max="10" width="16.6640625" style="10" customWidth="1"/>
    <col min="11" max="11" width="17.1640625" style="10" customWidth="1"/>
    <col min="12" max="12" width="31.5" style="10" customWidth="1"/>
    <col min="13" max="13" width="25.33203125" style="10" customWidth="1"/>
    <col min="14" max="14" width="36" style="10" customWidth="1"/>
    <col min="15" max="15" width="25" style="10" customWidth="1"/>
    <col min="16" max="16" width="29.5" style="10" customWidth="1"/>
    <col min="17" max="18" width="31.33203125" style="10" customWidth="1"/>
    <col min="19" max="19" width="25" style="10" customWidth="1"/>
    <col min="20" max="20" width="25.5" style="10" customWidth="1"/>
    <col min="21" max="22" width="23.6640625" style="10" customWidth="1"/>
    <col min="23" max="23" width="15" style="10" customWidth="1"/>
    <col min="24" max="16384" width="8.83203125" style="10"/>
  </cols>
  <sheetData>
    <row r="1" spans="1:34" x14ac:dyDescent="0.2">
      <c r="A1" s="236" t="s">
        <v>240</v>
      </c>
      <c r="B1" s="236" t="s">
        <v>241</v>
      </c>
      <c r="C1" s="236" t="s">
        <v>242</v>
      </c>
      <c r="D1" s="236" t="s">
        <v>243</v>
      </c>
      <c r="E1" s="236" t="s">
        <v>244</v>
      </c>
      <c r="F1" s="236" t="s">
        <v>245</v>
      </c>
      <c r="G1" s="236" t="s">
        <v>246</v>
      </c>
      <c r="H1" s="236" t="s">
        <v>247</v>
      </c>
      <c r="I1" s="236" t="s">
        <v>271</v>
      </c>
      <c r="J1" s="236" t="s">
        <v>248</v>
      </c>
      <c r="K1" s="236" t="s">
        <v>251</v>
      </c>
      <c r="L1" s="236" t="s">
        <v>252</v>
      </c>
      <c r="M1" s="236" t="s">
        <v>249</v>
      </c>
      <c r="N1" s="236" t="s">
        <v>250</v>
      </c>
      <c r="O1" s="236" t="s">
        <v>441</v>
      </c>
      <c r="P1" s="236" t="s">
        <v>256</v>
      </c>
      <c r="Q1" s="236" t="s">
        <v>257</v>
      </c>
      <c r="R1" s="236" t="s">
        <v>393</v>
      </c>
      <c r="S1" s="236" t="s">
        <v>359</v>
      </c>
      <c r="T1" s="236" t="s">
        <v>360</v>
      </c>
      <c r="U1" s="236" t="s">
        <v>358</v>
      </c>
      <c r="V1" s="236" t="s">
        <v>258</v>
      </c>
      <c r="W1" s="236" t="s">
        <v>268</v>
      </c>
      <c r="X1" s="236" t="s">
        <v>313</v>
      </c>
      <c r="Y1" s="236" t="s">
        <v>272</v>
      </c>
      <c r="Z1" s="236" t="s">
        <v>269</v>
      </c>
      <c r="AA1" s="236" t="s">
        <v>270</v>
      </c>
      <c r="AB1" s="236" t="s">
        <v>365</v>
      </c>
      <c r="AC1" s="236" t="s">
        <v>364</v>
      </c>
      <c r="AD1" s="236" t="s">
        <v>363</v>
      </c>
      <c r="AE1" s="236" t="s">
        <v>362</v>
      </c>
      <c r="AF1" s="236" t="s">
        <v>276</v>
      </c>
      <c r="AG1" s="236" t="s">
        <v>278</v>
      </c>
      <c r="AH1" s="236" t="s">
        <v>277</v>
      </c>
    </row>
    <row r="2" spans="1:34" x14ac:dyDescent="0.2">
      <c r="A2" s="236" t="str">
        <f>'Input-SystemDetails'!D23</f>
        <v>Install photovoltaic system</v>
      </c>
      <c r="B2" s="236" t="str">
        <f>'Input-SystemDetails'!D25</f>
        <v xml:space="preserve">Install grid-tied 850.8 kW Solar PV System composed of 520.8 kW roof-mounted (non-ballasted) and 330 kW canopy-mounted arrays. Selective tree trimming and roof replacement must be included as per the Technical Solar Report. </v>
      </c>
      <c r="C2" s="236">
        <f>'Input-SystemDetails'!D29</f>
        <v>850.8</v>
      </c>
      <c r="D2" s="236">
        <f>'Input-SystemDetails'!D30</f>
        <v>723</v>
      </c>
      <c r="E2" s="236">
        <f>'Input-SystemDetails'!D31</f>
        <v>1493330</v>
      </c>
      <c r="F2" s="238">
        <f>'Input-SystemDetails'!D33</f>
        <v>0.95</v>
      </c>
      <c r="G2" s="238" t="str">
        <f>'Input-SystemDetails'!D35</f>
        <v>Other</v>
      </c>
      <c r="H2" s="236" t="str">
        <f>'Input-SystemDetails'!D36</f>
        <v>On roofs and canopies</v>
      </c>
      <c r="I2" s="236" t="str">
        <f>'Input-SystemDetails'!D38</f>
        <v>Inverter direct</v>
      </c>
      <c r="J2" s="236" t="str">
        <f>'Input-SystemDetails'!D43</f>
        <v>No</v>
      </c>
      <c r="K2" s="236">
        <f>'Input-SystemDetails'!D45</f>
        <v>0</v>
      </c>
      <c r="L2" s="236" t="str">
        <f>IF('Input-SystemDetails'!F45="","",'Input-SystemDetails'!F45)</f>
        <v/>
      </c>
      <c r="M2" s="236" t="str">
        <f>IF('Input-SystemDetails'!D46="","",'Input-SystemDetails'!D46)</f>
        <v/>
      </c>
      <c r="N2" s="236" t="str">
        <f>IF('Input-SystemDetails'!D47="","",'Input-SystemDetails'!D47)</f>
        <v/>
      </c>
      <c r="O2" s="236" t="str">
        <f>'Input-Income'!D8</f>
        <v>Yes</v>
      </c>
      <c r="P2" s="236" t="str">
        <f>IF('Input-Income'!D10="","",'Input-Income'!D10)</f>
        <v>True net metering</v>
      </c>
      <c r="Q2" s="236" t="str">
        <f>'Input-Income'!D12</f>
        <v xml:space="preserve">Generated electricity will be used to offset 82% of the whole property's electricity consumption which is fully owner-paid. </v>
      </c>
      <c r="R2" s="236" t="str">
        <f>'Input-Income'!D14</f>
        <v xml:space="preserve">The PV system will reduce grid consumption during both on- and off peak hours (peak hours: 3pm to 8pm) and annual savings are not expected to vary significantly due to TOU charges. </v>
      </c>
      <c r="S2" s="268">
        <f>'Input-Income'!D18</f>
        <v>1493330</v>
      </c>
      <c r="T2" s="236">
        <f>'Input-Income'!D19</f>
        <v>0</v>
      </c>
      <c r="U2" s="236">
        <f>'Input-Income'!D27</f>
        <v>148190</v>
      </c>
      <c r="V2" s="236">
        <f>'Input-Income'!D28</f>
        <v>0</v>
      </c>
      <c r="W2" s="236" t="str">
        <f>'Lender Validation'!F24</f>
        <v>Yes</v>
      </c>
      <c r="X2" s="236" t="str">
        <f>'Input-RoofMountedSystems'!D8</f>
        <v>Install foam roof overlap on top of existing roof for Buildings A,B,E,F,G,H,I and leasing office.</v>
      </c>
      <c r="Y2" s="236" t="str">
        <f>'Input-RoofMountedSystems'!D10</f>
        <v>Yes</v>
      </c>
      <c r="Z2" s="236" t="str">
        <f>'Input-SystemDetails'!D68</f>
        <v>No</v>
      </c>
      <c r="AA2" s="236" t="str">
        <f>'Input-SystemDetails'!D69</f>
        <v>Yes</v>
      </c>
      <c r="AB2" s="236" t="str">
        <f>'Input-Income'!D49</f>
        <v>Up front</v>
      </c>
      <c r="AC2" s="236" t="str">
        <f>'Input-Income'!D51</f>
        <v>Upon construction</v>
      </c>
      <c r="AD2" s="236">
        <f>'Input-Income'!D52</f>
        <v>60</v>
      </c>
      <c r="AE2" s="236" t="str">
        <f>'Input-Income'!D54</f>
        <v>No</v>
      </c>
      <c r="AF2" s="236" t="str">
        <f>'Input-Income'!D56</f>
        <v>No</v>
      </c>
      <c r="AG2" s="236" t="str">
        <f>'Input-Income'!D58</f>
        <v>No</v>
      </c>
      <c r="AH2" s="236" t="str">
        <f>'Input-Income'!D60</f>
        <v>No</v>
      </c>
    </row>
    <row r="3" spans="1:34" x14ac:dyDescent="0.2">
      <c r="F3" s="239"/>
    </row>
    <row r="5" spans="1:34" x14ac:dyDescent="0.2">
      <c r="F5" s="239"/>
    </row>
    <row r="30" spans="2:2" x14ac:dyDescent="0.2">
      <c r="B30" s="10" t="s">
        <v>323</v>
      </c>
    </row>
  </sheetData>
  <pageMargins left="0.7" right="0.7" top="0.75" bottom="0.75" header="0.3" footer="0.3"/>
  <pageSetup paperSize="5" scale="33" orientation="landscape" r:id="rId1"/>
  <headerFooter>
    <oddFooter>&amp;L&amp;"Source Sans Pro,Regular"&amp;9 © 2023 Fannie Mae.Trademarks of Fannie Mae. _x000D_&amp;1#&amp;"Calibri"&amp;10&amp;K000000 Fannie Mae Confidential&amp;C&amp;"Source Sans Pro,Regular"&amp;9&amp;A&amp;R&amp;"Source Sans Pro,Regular"&amp;9 Form 4099.I -  October 2023 Solar Rewards Intake Form</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H30"/>
  <sheetViews>
    <sheetView zoomScale="90" zoomScaleNormal="90" workbookViewId="0"/>
  </sheetViews>
  <sheetFormatPr baseColWidth="10" defaultColWidth="9.1640625" defaultRowHeight="15" x14ac:dyDescent="0.2"/>
  <cols>
    <col min="1" max="1" width="16.5" style="10" customWidth="1"/>
    <col min="2" max="2" width="19" style="10" customWidth="1"/>
    <col min="3" max="3" width="17.6640625" style="10" customWidth="1"/>
    <col min="4" max="4" width="15.5" style="10" customWidth="1"/>
    <col min="5" max="5" width="24.1640625" style="10" customWidth="1"/>
    <col min="6" max="6" width="27.83203125" style="10" customWidth="1"/>
    <col min="7" max="16384" width="9.1640625" style="10"/>
  </cols>
  <sheetData>
    <row r="1" spans="1:8" x14ac:dyDescent="0.2">
      <c r="A1" s="236" t="s">
        <v>260</v>
      </c>
      <c r="B1" s="236" t="s">
        <v>261</v>
      </c>
      <c r="C1" s="236" t="s">
        <v>262</v>
      </c>
      <c r="D1" s="236" t="s">
        <v>263</v>
      </c>
      <c r="E1" s="236" t="s">
        <v>264</v>
      </c>
      <c r="F1" s="236" t="s">
        <v>390</v>
      </c>
    </row>
    <row r="2" spans="1:8" x14ac:dyDescent="0.2">
      <c r="A2" s="236" t="s">
        <v>29</v>
      </c>
      <c r="B2" s="236" t="str">
        <f>'Input-SystemDetails'!D52</f>
        <v>Astroenergy Semi 385-410W; Astroenergy Bifacial 385-405W</v>
      </c>
      <c r="C2" s="236">
        <f>'Input-SystemDetails'!E52</f>
        <v>2150</v>
      </c>
      <c r="D2" s="236">
        <f>'Input-SystemDetails'!H52</f>
        <v>25</v>
      </c>
      <c r="E2" s="236">
        <f>'Input-SystemDetails'!F52</f>
        <v>10</v>
      </c>
      <c r="F2" s="236">
        <f>'Input-SystemDetails'!G52</f>
        <v>25</v>
      </c>
      <c r="G2" s="239"/>
      <c r="H2" s="239"/>
    </row>
    <row r="3" spans="1:8" x14ac:dyDescent="0.2">
      <c r="A3" s="236" t="s">
        <v>30</v>
      </c>
      <c r="B3" s="236" t="str">
        <f>'Input-SystemDetails'!D53</f>
        <v>Canadian Solar 25-40 kW; Solar Edge 66kW</v>
      </c>
      <c r="C3" s="236">
        <f>'Input-SystemDetails'!E53</f>
        <v>17</v>
      </c>
      <c r="D3" s="236">
        <f>'Input-SystemDetails'!H53</f>
        <v>10</v>
      </c>
      <c r="E3" s="236">
        <f>'Input-SystemDetails'!F53</f>
        <v>10</v>
      </c>
      <c r="F3" s="236" t="str">
        <f>'Input-SystemDetails'!G53</f>
        <v>n/a</v>
      </c>
    </row>
    <row r="4" spans="1:8" x14ac:dyDescent="0.2">
      <c r="A4" s="236" t="s">
        <v>31</v>
      </c>
      <c r="B4" s="236" t="str">
        <f>'Input-SystemDetails'!D54</f>
        <v>IronRidge Roof and Canopy Racking</v>
      </c>
      <c r="C4" s="236" t="str">
        <f>'Input-SystemDetails'!E54</f>
        <v>n/a</v>
      </c>
      <c r="D4" s="236">
        <f>'Input-SystemDetails'!H54</f>
        <v>25</v>
      </c>
      <c r="E4" s="236">
        <f>'Input-SystemDetails'!F54</f>
        <v>25</v>
      </c>
      <c r="F4" s="236" t="str">
        <f>'Input-SystemDetails'!G54</f>
        <v>n/a</v>
      </c>
    </row>
    <row r="5" spans="1:8" x14ac:dyDescent="0.2">
      <c r="A5" s="236" t="s">
        <v>259</v>
      </c>
      <c r="B5" s="236">
        <f>'Input-SystemDetails'!D55</f>
        <v>0</v>
      </c>
      <c r="C5" s="236">
        <f>'Input-SystemDetails'!E55</f>
        <v>0</v>
      </c>
      <c r="D5" s="236" t="str">
        <f>'Input-SystemDetails'!H55</f>
        <v/>
      </c>
      <c r="E5" s="236">
        <f>'Input-SystemDetails'!F55</f>
        <v>0</v>
      </c>
      <c r="F5" s="236" t="str">
        <f>IF('Input-SystemDetails'!G55="","",'Input-SystemDetails'!G55)</f>
        <v>n/a</v>
      </c>
    </row>
    <row r="30" spans="2:2" x14ac:dyDescent="0.2">
      <c r="B30" s="10" t="s">
        <v>323</v>
      </c>
    </row>
  </sheetData>
  <pageMargins left="0.7" right="0.7" top="0.75" bottom="0.75" header="0.3" footer="0.3"/>
  <pageSetup paperSize="5" scale="84" orientation="landscape" r:id="rId1"/>
  <headerFooter>
    <oddFooter>&amp;L&amp;"Source Sans Pro,Regular"&amp;9 © 2023 Fannie Mae.Trademarks of Fannie Mae. _x000D_&amp;1#&amp;"Calibri"&amp;10&amp;K000000 Fannie Mae Confidential&amp;C&amp;"Source Sans Pro,Regular"&amp;9&amp;A&amp;R&amp;"Source Sans Pro,Regular"&amp;9 Form 4099.I -  October 2023 Solar Rewards Intake Form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H30"/>
  <sheetViews>
    <sheetView zoomScale="90" zoomScaleNormal="90" workbookViewId="0"/>
  </sheetViews>
  <sheetFormatPr baseColWidth="10" defaultColWidth="9.1640625" defaultRowHeight="15" x14ac:dyDescent="0.2"/>
  <cols>
    <col min="2" max="2" width="16.6640625" customWidth="1"/>
    <col min="3" max="3" width="9.33203125" customWidth="1"/>
    <col min="4" max="4" width="14.33203125" customWidth="1"/>
    <col min="5" max="5" width="34.33203125" customWidth="1"/>
    <col min="6" max="6" width="18.5" customWidth="1"/>
    <col min="7" max="7" width="29.5" customWidth="1"/>
    <col min="8" max="8" width="14.5" customWidth="1"/>
  </cols>
  <sheetData>
    <row r="1" spans="1:8" x14ac:dyDescent="0.2">
      <c r="A1" s="236" t="s">
        <v>20</v>
      </c>
      <c r="B1" s="236" t="s">
        <v>242</v>
      </c>
      <c r="C1" s="236" t="s">
        <v>265</v>
      </c>
      <c r="D1" s="236" t="s">
        <v>266</v>
      </c>
      <c r="E1" s="236" t="s">
        <v>267</v>
      </c>
      <c r="F1" s="236" t="s">
        <v>336</v>
      </c>
      <c r="G1" s="236" t="s">
        <v>268</v>
      </c>
      <c r="H1" s="236" t="s">
        <v>314</v>
      </c>
    </row>
    <row r="2" spans="1:8" x14ac:dyDescent="0.2">
      <c r="A2" s="236" t="str">
        <f>IF('Input-RoofMountedSystems'!C13="","",'Input-RoofMountedSystems'!C13)</f>
        <v>Leasing office</v>
      </c>
      <c r="B2" s="236">
        <f>IF('Input-RoofMountedSystems'!D13="","",'Input-RoofMountedSystems'!D13)</f>
        <v>30.4</v>
      </c>
      <c r="C2" s="236" t="str">
        <f>IF('Input-RoofMountedSystems'!E13="","",'Input-RoofMountedSystems'!E13)</f>
        <v>Pitched/shingle</v>
      </c>
      <c r="D2" s="236">
        <f>IF('Input-RoofMountedSystems'!F13="","",'Input-RoofMountedSystems'!F13)</f>
        <v>20</v>
      </c>
      <c r="E2" s="236" t="str">
        <f>IF('Input-RoofMountedSystems'!G13="","",'Input-RoofMountedSystems'!G13)</f>
        <v>n/a</v>
      </c>
      <c r="F2" s="236" t="str">
        <f>IF('Input-RoofMountedSystems'!H13="","",'Input-RoofMountedSystems'!H13)</f>
        <v>Fair</v>
      </c>
      <c r="G2" s="236" t="str">
        <f>IF('Input-RoofMountedSystems'!I13="","",'Input-RoofMountedSystems'!I13)</f>
        <v>Yes</v>
      </c>
      <c r="H2" s="236" t="str">
        <f>IF('Input-RoofMountedSystems'!J13="","",'Input-RoofMountedSystems'!J13)</f>
        <v>Install foam overlap over existing roof.</v>
      </c>
    </row>
    <row r="3" spans="1:8" x14ac:dyDescent="0.2">
      <c r="A3" s="236" t="str">
        <f>IF('Input-RoofMountedSystems'!C14="","",'Input-RoofMountedSystems'!C14)</f>
        <v>Building A</v>
      </c>
      <c r="B3" s="236">
        <f>IF('Input-RoofMountedSystems'!D14="","",'Input-RoofMountedSystems'!D14)</f>
        <v>46</v>
      </c>
      <c r="C3" s="236" t="str">
        <f>IF('Input-RoofMountedSystems'!E14="","",'Input-RoofMountedSystems'!E14)</f>
        <v>Pitched/shingle</v>
      </c>
      <c r="D3" s="236">
        <f>IF('Input-RoofMountedSystems'!F14="","",'Input-RoofMountedSystems'!F14)</f>
        <v>20</v>
      </c>
      <c r="E3" s="236" t="str">
        <f>IF('Input-RoofMountedSystems'!G14="","",'Input-RoofMountedSystems'!G14)</f>
        <v>n/a</v>
      </c>
      <c r="F3" s="236" t="str">
        <f>IF('Input-RoofMountedSystems'!H14="","",'Input-RoofMountedSystems'!H14)</f>
        <v>Fair</v>
      </c>
      <c r="G3" s="236" t="str">
        <f>IF('Input-RoofMountedSystems'!I14="","",'Input-RoofMountedSystems'!I14)</f>
        <v>Yes</v>
      </c>
      <c r="H3" s="236" t="str">
        <f>IF('Input-RoofMountedSystems'!J14="","",'Input-RoofMountedSystems'!J14)</f>
        <v>Install foam overlap over existing roof.</v>
      </c>
    </row>
    <row r="4" spans="1:8" x14ac:dyDescent="0.2">
      <c r="A4" s="236" t="str">
        <f>IF('Input-RoofMountedSystems'!C15="","",'Input-RoofMountedSystems'!C15)</f>
        <v>Building B</v>
      </c>
      <c r="B4" s="236">
        <f>IF('Input-RoofMountedSystems'!D15="","",'Input-RoofMountedSystems'!D15)</f>
        <v>55.1</v>
      </c>
      <c r="C4" s="236" t="str">
        <f>IF('Input-RoofMountedSystems'!E15="","",'Input-RoofMountedSystems'!E15)</f>
        <v>Pitched/shingle</v>
      </c>
      <c r="D4" s="236">
        <f>IF('Input-RoofMountedSystems'!F15="","",'Input-RoofMountedSystems'!F15)</f>
        <v>20</v>
      </c>
      <c r="E4" s="236" t="str">
        <f>IF('Input-RoofMountedSystems'!G15="","",'Input-RoofMountedSystems'!G15)</f>
        <v>n/a</v>
      </c>
      <c r="F4" s="236" t="str">
        <f>IF('Input-RoofMountedSystems'!H15="","",'Input-RoofMountedSystems'!H15)</f>
        <v>Fair</v>
      </c>
      <c r="G4" s="236" t="str">
        <f>IF('Input-RoofMountedSystems'!I15="","",'Input-RoofMountedSystems'!I15)</f>
        <v>Yes</v>
      </c>
      <c r="H4" s="236" t="str">
        <f>IF('Input-RoofMountedSystems'!J15="","",'Input-RoofMountedSystems'!J15)</f>
        <v>Install foam overlap over existing roof.</v>
      </c>
    </row>
    <row r="5" spans="1:8" x14ac:dyDescent="0.2">
      <c r="A5" s="236" t="str">
        <f>IF('Input-RoofMountedSystems'!C16="","",'Input-RoofMountedSystems'!C16)</f>
        <v>Building C</v>
      </c>
      <c r="B5" s="236">
        <f>IF('Input-RoofMountedSystems'!D16="","",'Input-RoofMountedSystems'!D16)</f>
        <v>46</v>
      </c>
      <c r="C5" s="236" t="str">
        <f>IF('Input-RoofMountedSystems'!E16="","",'Input-RoofMountedSystems'!E16)</f>
        <v>Pitched/shingle</v>
      </c>
      <c r="D5" s="236">
        <f>IF('Input-RoofMountedSystems'!F16="","",'Input-RoofMountedSystems'!F16)</f>
        <v>5</v>
      </c>
      <c r="E5" s="236">
        <f>IF('Input-RoofMountedSystems'!G16="","",'Input-RoofMountedSystems'!G16)</f>
        <v>10</v>
      </c>
      <c r="F5" s="236" t="str">
        <f>IF('Input-RoofMountedSystems'!H16="","",'Input-RoofMountedSystems'!H16)</f>
        <v>Good</v>
      </c>
      <c r="G5" s="236" t="str">
        <f>IF('Input-RoofMountedSystems'!I16="","",'Input-RoofMountedSystems'!I16)</f>
        <v>No</v>
      </c>
      <c r="H5" s="236" t="str">
        <f>IF('Input-RoofMountedSystems'!J16="","",'Input-RoofMountedSystems'!J16)</f>
        <v/>
      </c>
    </row>
    <row r="6" spans="1:8" x14ac:dyDescent="0.2">
      <c r="A6" s="236" t="str">
        <f>IF('Input-RoofMountedSystems'!C17="","",'Input-RoofMountedSystems'!C17)</f>
        <v>Building D</v>
      </c>
      <c r="B6" s="236">
        <f>IF('Input-RoofMountedSystems'!D17="","",'Input-RoofMountedSystems'!D17)</f>
        <v>46</v>
      </c>
      <c r="C6" s="236" t="str">
        <f>IF('Input-RoofMountedSystems'!E17="","",'Input-RoofMountedSystems'!E17)</f>
        <v>Pitched/shingle</v>
      </c>
      <c r="D6" s="236">
        <f>IF('Input-RoofMountedSystems'!F17="","",'Input-RoofMountedSystems'!F17)</f>
        <v>5</v>
      </c>
      <c r="E6" s="236">
        <f>IF('Input-RoofMountedSystems'!G17="","",'Input-RoofMountedSystems'!G17)</f>
        <v>10</v>
      </c>
      <c r="F6" s="236" t="str">
        <f>IF('Input-RoofMountedSystems'!H17="","",'Input-RoofMountedSystems'!H17)</f>
        <v>Good</v>
      </c>
      <c r="G6" s="236" t="str">
        <f>IF('Input-RoofMountedSystems'!I17="","",'Input-RoofMountedSystems'!I17)</f>
        <v>No</v>
      </c>
      <c r="H6" s="236" t="str">
        <f>IF('Input-RoofMountedSystems'!J17="","",'Input-RoofMountedSystems'!J17)</f>
        <v/>
      </c>
    </row>
    <row r="7" spans="1:8" x14ac:dyDescent="0.2">
      <c r="A7" s="236" t="str">
        <f>IF('Input-RoofMountedSystems'!C18="","",'Input-RoofMountedSystems'!C18)</f>
        <v>Building E</v>
      </c>
      <c r="B7" s="236">
        <f>IF('Input-RoofMountedSystems'!D18="","",'Input-RoofMountedSystems'!D18)</f>
        <v>55.1</v>
      </c>
      <c r="C7" s="236" t="str">
        <f>IF('Input-RoofMountedSystems'!E18="","",'Input-RoofMountedSystems'!E18)</f>
        <v>Pitched/shingle</v>
      </c>
      <c r="D7" s="236">
        <f>IF('Input-RoofMountedSystems'!F18="","",'Input-RoofMountedSystems'!F18)</f>
        <v>20</v>
      </c>
      <c r="E7" s="236" t="str">
        <f>IF('Input-RoofMountedSystems'!G18="","",'Input-RoofMountedSystems'!G18)</f>
        <v>n/a</v>
      </c>
      <c r="F7" s="236" t="str">
        <f>IF('Input-RoofMountedSystems'!H18="","",'Input-RoofMountedSystems'!H18)</f>
        <v>Fair</v>
      </c>
      <c r="G7" s="236" t="str">
        <f>IF('Input-RoofMountedSystems'!I18="","",'Input-RoofMountedSystems'!I18)</f>
        <v>Yes</v>
      </c>
      <c r="H7" s="236" t="str">
        <f>IF('Input-RoofMountedSystems'!J18="","",'Input-RoofMountedSystems'!J18)</f>
        <v>Install foam overlap over existing roof.</v>
      </c>
    </row>
    <row r="8" spans="1:8" x14ac:dyDescent="0.2">
      <c r="A8" s="236" t="str">
        <f>IF('Input-RoofMountedSystems'!C19="","",'Input-RoofMountedSystems'!C19)</f>
        <v>Building F</v>
      </c>
      <c r="B8" s="236">
        <f>IF('Input-RoofMountedSystems'!D19="","",'Input-RoofMountedSystems'!D19)</f>
        <v>46</v>
      </c>
      <c r="C8" s="236" t="str">
        <f>IF('Input-RoofMountedSystems'!E19="","",'Input-RoofMountedSystems'!E19)</f>
        <v>Pitched/shingle</v>
      </c>
      <c r="D8" s="236">
        <f>IF('Input-RoofMountedSystems'!F19="","",'Input-RoofMountedSystems'!F19)</f>
        <v>20</v>
      </c>
      <c r="E8" s="236" t="str">
        <f>IF('Input-RoofMountedSystems'!G19="","",'Input-RoofMountedSystems'!G19)</f>
        <v>n/a</v>
      </c>
      <c r="F8" s="236" t="str">
        <f>IF('Input-RoofMountedSystems'!H19="","",'Input-RoofMountedSystems'!H19)</f>
        <v>Fair</v>
      </c>
      <c r="G8" s="236" t="str">
        <f>IF('Input-RoofMountedSystems'!I19="","",'Input-RoofMountedSystems'!I19)</f>
        <v>Yes</v>
      </c>
      <c r="H8" s="236" t="str">
        <f>IF('Input-RoofMountedSystems'!J19="","",'Input-RoofMountedSystems'!J19)</f>
        <v>Install foam overlap over existing roof.</v>
      </c>
    </row>
    <row r="9" spans="1:8" x14ac:dyDescent="0.2">
      <c r="A9" s="236" t="str">
        <f>IF('Input-RoofMountedSystems'!C20="","",'Input-RoofMountedSystems'!C20)</f>
        <v>Building G</v>
      </c>
      <c r="B9" s="236">
        <f>IF('Input-RoofMountedSystems'!D20="","",'Input-RoofMountedSystems'!D20)</f>
        <v>55.1</v>
      </c>
      <c r="C9" s="236" t="str">
        <f>IF('Input-RoofMountedSystems'!E20="","",'Input-RoofMountedSystems'!E20)</f>
        <v>Pitched/shingle</v>
      </c>
      <c r="D9" s="236">
        <f>IF('Input-RoofMountedSystems'!F20="","",'Input-RoofMountedSystems'!F20)</f>
        <v>20</v>
      </c>
      <c r="E9" s="236" t="str">
        <f>IF('Input-RoofMountedSystems'!G20="","",'Input-RoofMountedSystems'!G20)</f>
        <v>n/a</v>
      </c>
      <c r="F9" s="236" t="str">
        <f>IF('Input-RoofMountedSystems'!H20="","",'Input-RoofMountedSystems'!H20)</f>
        <v>Fair</v>
      </c>
      <c r="G9" s="236" t="str">
        <f>IF('Input-RoofMountedSystems'!I20="","",'Input-RoofMountedSystems'!I20)</f>
        <v>Yes</v>
      </c>
      <c r="H9" s="236" t="str">
        <f>IF('Input-RoofMountedSystems'!J20="","",'Input-RoofMountedSystems'!J20)</f>
        <v>Install foam overlap over existing roof.</v>
      </c>
    </row>
    <row r="10" spans="1:8" x14ac:dyDescent="0.2">
      <c r="A10" s="236" t="str">
        <f>IF('Input-RoofMountedSystems'!C21="","",'Input-RoofMountedSystems'!C21)</f>
        <v>Building H</v>
      </c>
      <c r="B10" s="236">
        <f>IF('Input-RoofMountedSystems'!D21="","",'Input-RoofMountedSystems'!D21)</f>
        <v>40</v>
      </c>
      <c r="C10" s="236" t="str">
        <f>IF('Input-RoofMountedSystems'!E21="","",'Input-RoofMountedSystems'!E21)</f>
        <v>Pitched/shingle</v>
      </c>
      <c r="D10" s="236">
        <f>IF('Input-RoofMountedSystems'!F21="","",'Input-RoofMountedSystems'!F21)</f>
        <v>20</v>
      </c>
      <c r="E10" s="236" t="str">
        <f>IF('Input-RoofMountedSystems'!G21="","",'Input-RoofMountedSystems'!G21)</f>
        <v>n/a</v>
      </c>
      <c r="F10" s="236" t="str">
        <f>IF('Input-RoofMountedSystems'!H21="","",'Input-RoofMountedSystems'!H21)</f>
        <v>Fair</v>
      </c>
      <c r="G10" s="236" t="str">
        <f>IF('Input-RoofMountedSystems'!I21="","",'Input-RoofMountedSystems'!I21)</f>
        <v>Yes</v>
      </c>
      <c r="H10" s="236" t="str">
        <f>IF('Input-RoofMountedSystems'!J21="","",'Input-RoofMountedSystems'!J21)</f>
        <v>Install foam overlap over existing roof.</v>
      </c>
    </row>
    <row r="11" spans="1:8" x14ac:dyDescent="0.2">
      <c r="A11" s="236" t="str">
        <f>IF('Input-RoofMountedSystems'!C22="","",'Input-RoofMountedSystems'!C22)</f>
        <v>Building I</v>
      </c>
      <c r="B11" s="236">
        <f>IF('Input-RoofMountedSystems'!D22="","",'Input-RoofMountedSystems'!D22)</f>
        <v>55.1</v>
      </c>
      <c r="C11" s="236" t="str">
        <f>IF('Input-RoofMountedSystems'!E22="","",'Input-RoofMountedSystems'!E22)</f>
        <v>Pitched/shingle</v>
      </c>
      <c r="D11" s="236">
        <f>IF('Input-RoofMountedSystems'!F22="","",'Input-RoofMountedSystems'!F22)</f>
        <v>20</v>
      </c>
      <c r="E11" s="236" t="str">
        <f>IF('Input-RoofMountedSystems'!G22="","",'Input-RoofMountedSystems'!G22)</f>
        <v>n/a</v>
      </c>
      <c r="F11" s="236" t="str">
        <f>IF('Input-RoofMountedSystems'!H22="","",'Input-RoofMountedSystems'!H22)</f>
        <v>Fair</v>
      </c>
      <c r="G11" s="236" t="str">
        <f>IF('Input-RoofMountedSystems'!I22="","",'Input-RoofMountedSystems'!I22)</f>
        <v>Yes</v>
      </c>
      <c r="H11" s="236" t="str">
        <f>IF('Input-RoofMountedSystems'!J22="","",'Input-RoofMountedSystems'!J22)</f>
        <v>Install foam overlap over existing roof.</v>
      </c>
    </row>
    <row r="12" spans="1:8" x14ac:dyDescent="0.2">
      <c r="A12" s="236" t="str">
        <f>IF('Input-RoofMountedSystems'!C23="","",'Input-RoofMountedSystems'!C23)</f>
        <v>Building J</v>
      </c>
      <c r="B12" s="236">
        <f>IF('Input-RoofMountedSystems'!D23="","",'Input-RoofMountedSystems'!D23)</f>
        <v>46</v>
      </c>
      <c r="C12" s="236" t="str">
        <f>IF('Input-RoofMountedSystems'!E23="","",'Input-RoofMountedSystems'!E23)</f>
        <v>Pitched/shingle</v>
      </c>
      <c r="D12" s="236">
        <f>IF('Input-RoofMountedSystems'!F23="","",'Input-RoofMountedSystems'!F23)</f>
        <v>5</v>
      </c>
      <c r="E12" s="236">
        <f>IF('Input-RoofMountedSystems'!G23="","",'Input-RoofMountedSystems'!G23)</f>
        <v>10</v>
      </c>
      <c r="F12" s="236" t="str">
        <f>IF('Input-RoofMountedSystems'!H23="","",'Input-RoofMountedSystems'!H23)</f>
        <v>Good</v>
      </c>
      <c r="G12" s="236" t="str">
        <f>IF('Input-RoofMountedSystems'!I23="","",'Input-RoofMountedSystems'!I23)</f>
        <v>No</v>
      </c>
      <c r="H12" s="236" t="str">
        <f>IF('Input-RoofMountedSystems'!J23="","",'Input-RoofMountedSystems'!J23)</f>
        <v/>
      </c>
    </row>
    <row r="13" spans="1:8" x14ac:dyDescent="0.2">
      <c r="A13" s="236" t="str">
        <f>IF('Input-RoofMountedSystems'!C24="","",'Input-RoofMountedSystems'!C24)</f>
        <v/>
      </c>
      <c r="B13" s="236" t="str">
        <f>IF('Input-RoofMountedSystems'!D24="","",'Input-RoofMountedSystems'!D24)</f>
        <v/>
      </c>
      <c r="C13" s="236" t="str">
        <f>IF('Input-RoofMountedSystems'!E24="","",'Input-RoofMountedSystems'!E24)</f>
        <v/>
      </c>
      <c r="D13" s="236" t="str">
        <f>IF('Input-RoofMountedSystems'!F24="","",'Input-RoofMountedSystems'!F24)</f>
        <v/>
      </c>
      <c r="E13" s="236" t="str">
        <f>IF('Input-RoofMountedSystems'!G24="","",'Input-RoofMountedSystems'!G24)</f>
        <v/>
      </c>
      <c r="F13" s="236" t="str">
        <f>IF('Input-RoofMountedSystems'!H24="","",'Input-RoofMountedSystems'!H24)</f>
        <v/>
      </c>
      <c r="G13" s="236" t="str">
        <f>IF('Input-RoofMountedSystems'!I24="","",'Input-RoofMountedSystems'!I24)</f>
        <v/>
      </c>
      <c r="H13" s="236" t="str">
        <f>IF('Input-RoofMountedSystems'!J24="","",'Input-RoofMountedSystems'!J24)</f>
        <v/>
      </c>
    </row>
    <row r="14" spans="1:8" x14ac:dyDescent="0.2">
      <c r="A14" s="236" t="str">
        <f>IF('Input-RoofMountedSystems'!C25="","",'Input-RoofMountedSystems'!C25)</f>
        <v/>
      </c>
      <c r="B14" s="236" t="str">
        <f>IF('Input-RoofMountedSystems'!D25="","",'Input-RoofMountedSystems'!D25)</f>
        <v/>
      </c>
      <c r="C14" s="236" t="str">
        <f>IF('Input-RoofMountedSystems'!E25="","",'Input-RoofMountedSystems'!E25)</f>
        <v/>
      </c>
      <c r="D14" s="236" t="str">
        <f>IF('Input-RoofMountedSystems'!F25="","",'Input-RoofMountedSystems'!F25)</f>
        <v/>
      </c>
      <c r="E14" s="236" t="str">
        <f>IF('Input-RoofMountedSystems'!G25="","",'Input-RoofMountedSystems'!G25)</f>
        <v/>
      </c>
      <c r="F14" s="236" t="str">
        <f>IF('Input-RoofMountedSystems'!H25="","",'Input-RoofMountedSystems'!H25)</f>
        <v/>
      </c>
      <c r="G14" s="236" t="str">
        <f>IF('Input-RoofMountedSystems'!I25="","",'Input-RoofMountedSystems'!I25)</f>
        <v/>
      </c>
      <c r="H14" s="236" t="str">
        <f>IF('Input-RoofMountedSystems'!J25="","",'Input-RoofMountedSystems'!J25)</f>
        <v/>
      </c>
    </row>
    <row r="15" spans="1:8" x14ac:dyDescent="0.2">
      <c r="A15" s="236" t="str">
        <f>IF('Input-RoofMountedSystems'!C26="","",'Input-RoofMountedSystems'!C26)</f>
        <v/>
      </c>
      <c r="B15" s="236" t="str">
        <f>IF('Input-RoofMountedSystems'!D26="","",'Input-RoofMountedSystems'!D26)</f>
        <v/>
      </c>
      <c r="C15" s="236" t="str">
        <f>IF('Input-RoofMountedSystems'!E26="","",'Input-RoofMountedSystems'!E26)</f>
        <v/>
      </c>
      <c r="D15" s="236" t="str">
        <f>IF('Input-RoofMountedSystems'!F26="","",'Input-RoofMountedSystems'!F26)</f>
        <v/>
      </c>
      <c r="E15" s="236" t="str">
        <f>IF('Input-RoofMountedSystems'!G26="","",'Input-RoofMountedSystems'!G26)</f>
        <v/>
      </c>
      <c r="F15" s="236" t="str">
        <f>IF('Input-RoofMountedSystems'!H26="","",'Input-RoofMountedSystems'!H26)</f>
        <v/>
      </c>
      <c r="G15" s="236" t="str">
        <f>IF('Input-RoofMountedSystems'!I26="","",'Input-RoofMountedSystems'!I26)</f>
        <v/>
      </c>
      <c r="H15" s="236" t="str">
        <f>IF('Input-RoofMountedSystems'!J26="","",'Input-RoofMountedSystems'!J26)</f>
        <v/>
      </c>
    </row>
    <row r="16" spans="1:8" x14ac:dyDescent="0.2">
      <c r="A16" s="236" t="str">
        <f>IF('Input-RoofMountedSystems'!C27="","",'Input-RoofMountedSystems'!C27)</f>
        <v/>
      </c>
      <c r="B16" s="236" t="str">
        <f>IF('Input-RoofMountedSystems'!D27="","",'Input-RoofMountedSystems'!D27)</f>
        <v/>
      </c>
      <c r="C16" s="236" t="str">
        <f>IF('Input-RoofMountedSystems'!E27="","",'Input-RoofMountedSystems'!E27)</f>
        <v/>
      </c>
      <c r="D16" s="236" t="str">
        <f>IF('Input-RoofMountedSystems'!F27="","",'Input-RoofMountedSystems'!F27)</f>
        <v/>
      </c>
      <c r="E16" s="236" t="str">
        <f>IF('Input-RoofMountedSystems'!G27="","",'Input-RoofMountedSystems'!G27)</f>
        <v/>
      </c>
      <c r="F16" s="236" t="str">
        <f>IF('Input-RoofMountedSystems'!H27="","",'Input-RoofMountedSystems'!H27)</f>
        <v/>
      </c>
      <c r="G16" s="236" t="str">
        <f>IF('Input-RoofMountedSystems'!I27="","",'Input-RoofMountedSystems'!I27)</f>
        <v/>
      </c>
      <c r="H16" s="236" t="str">
        <f>IF('Input-RoofMountedSystems'!J27="","",'Input-RoofMountedSystems'!J27)</f>
        <v/>
      </c>
    </row>
    <row r="17" spans="1:8" x14ac:dyDescent="0.2">
      <c r="A17" s="236" t="str">
        <f>IF('Input-RoofMountedSystems'!C28="","",'Input-RoofMountedSystems'!C28)</f>
        <v/>
      </c>
      <c r="B17" s="236" t="str">
        <f>IF('Input-RoofMountedSystems'!D28="","",'Input-RoofMountedSystems'!D28)</f>
        <v/>
      </c>
      <c r="C17" s="236" t="str">
        <f>IF('Input-RoofMountedSystems'!E28="","",'Input-RoofMountedSystems'!E28)</f>
        <v/>
      </c>
      <c r="D17" s="236" t="str">
        <f>IF('Input-RoofMountedSystems'!F28="","",'Input-RoofMountedSystems'!F28)</f>
        <v/>
      </c>
      <c r="E17" s="236" t="str">
        <f>IF('Input-RoofMountedSystems'!G28="","",'Input-RoofMountedSystems'!G28)</f>
        <v/>
      </c>
      <c r="F17" s="236" t="str">
        <f>IF('Input-RoofMountedSystems'!H28="","",'Input-RoofMountedSystems'!H28)</f>
        <v/>
      </c>
      <c r="G17" s="236" t="str">
        <f>IF('Input-RoofMountedSystems'!I28="","",'Input-RoofMountedSystems'!I28)</f>
        <v/>
      </c>
      <c r="H17" s="236" t="str">
        <f>IF('Input-RoofMountedSystems'!J28="","",'Input-RoofMountedSystems'!J28)</f>
        <v/>
      </c>
    </row>
    <row r="18" spans="1:8" x14ac:dyDescent="0.2">
      <c r="A18" s="236" t="str">
        <f>IF('Input-RoofMountedSystems'!C29="","",'Input-RoofMountedSystems'!C29)</f>
        <v/>
      </c>
      <c r="B18" s="236" t="str">
        <f>IF('Input-RoofMountedSystems'!D29="","",'Input-RoofMountedSystems'!D29)</f>
        <v/>
      </c>
      <c r="C18" s="236" t="str">
        <f>IF('Input-RoofMountedSystems'!E29="","",'Input-RoofMountedSystems'!E29)</f>
        <v/>
      </c>
      <c r="D18" s="236" t="str">
        <f>IF('Input-RoofMountedSystems'!F29="","",'Input-RoofMountedSystems'!F29)</f>
        <v/>
      </c>
      <c r="E18" s="236" t="str">
        <f>IF('Input-RoofMountedSystems'!G29="","",'Input-RoofMountedSystems'!G29)</f>
        <v/>
      </c>
      <c r="F18" s="236" t="str">
        <f>IF('Input-RoofMountedSystems'!H29="","",'Input-RoofMountedSystems'!H29)</f>
        <v/>
      </c>
      <c r="G18" s="236" t="str">
        <f>IF('Input-RoofMountedSystems'!I29="","",'Input-RoofMountedSystems'!I29)</f>
        <v/>
      </c>
      <c r="H18" s="236" t="str">
        <f>IF('Input-RoofMountedSystems'!J29="","",'Input-RoofMountedSystems'!J29)</f>
        <v/>
      </c>
    </row>
    <row r="19" spans="1:8" x14ac:dyDescent="0.2">
      <c r="A19" s="236" t="str">
        <f>IF('Input-RoofMountedSystems'!C30="","",'Input-RoofMountedSystems'!C30)</f>
        <v/>
      </c>
      <c r="B19" s="236" t="str">
        <f>IF('Input-RoofMountedSystems'!D30="","",'Input-RoofMountedSystems'!D30)</f>
        <v/>
      </c>
      <c r="C19" s="236" t="str">
        <f>IF('Input-RoofMountedSystems'!E30="","",'Input-RoofMountedSystems'!E30)</f>
        <v/>
      </c>
      <c r="D19" s="236" t="str">
        <f>IF('Input-RoofMountedSystems'!F30="","",'Input-RoofMountedSystems'!F30)</f>
        <v/>
      </c>
      <c r="E19" s="236" t="str">
        <f>IF('Input-RoofMountedSystems'!G30="","",'Input-RoofMountedSystems'!G30)</f>
        <v/>
      </c>
      <c r="F19" s="236" t="str">
        <f>IF('Input-RoofMountedSystems'!H30="","",'Input-RoofMountedSystems'!H30)</f>
        <v/>
      </c>
      <c r="G19" s="236" t="str">
        <f>IF('Input-RoofMountedSystems'!I30="","",'Input-RoofMountedSystems'!I30)</f>
        <v/>
      </c>
      <c r="H19" s="236" t="str">
        <f>IF('Input-RoofMountedSystems'!J30="","",'Input-RoofMountedSystems'!J30)</f>
        <v/>
      </c>
    </row>
    <row r="20" spans="1:8" x14ac:dyDescent="0.2">
      <c r="A20" s="236" t="str">
        <f>IF('Input-RoofMountedSystems'!C31="","",'Input-RoofMountedSystems'!C31)</f>
        <v/>
      </c>
      <c r="B20" s="236" t="str">
        <f>IF('Input-RoofMountedSystems'!D31="","",'Input-RoofMountedSystems'!D31)</f>
        <v/>
      </c>
      <c r="C20" s="236" t="str">
        <f>IF('Input-RoofMountedSystems'!E31="","",'Input-RoofMountedSystems'!E31)</f>
        <v/>
      </c>
      <c r="D20" s="236" t="str">
        <f>IF('Input-RoofMountedSystems'!F31="","",'Input-RoofMountedSystems'!F31)</f>
        <v/>
      </c>
      <c r="E20" s="236" t="str">
        <f>IF('Input-RoofMountedSystems'!G31="","",'Input-RoofMountedSystems'!G31)</f>
        <v/>
      </c>
      <c r="F20" s="236" t="str">
        <f>IF('Input-RoofMountedSystems'!H31="","",'Input-RoofMountedSystems'!H31)</f>
        <v/>
      </c>
      <c r="G20" s="236" t="str">
        <f>IF('Input-RoofMountedSystems'!I31="","",'Input-RoofMountedSystems'!I31)</f>
        <v/>
      </c>
      <c r="H20" s="236" t="str">
        <f>IF('Input-RoofMountedSystems'!J31="","",'Input-RoofMountedSystems'!J31)</f>
        <v/>
      </c>
    </row>
    <row r="21" spans="1:8" x14ac:dyDescent="0.2">
      <c r="A21" s="236" t="str">
        <f>IF('Input-RoofMountedSystems'!C32="","",'Input-RoofMountedSystems'!C32)</f>
        <v/>
      </c>
      <c r="B21" s="236" t="str">
        <f>IF('Input-RoofMountedSystems'!D32="","",'Input-RoofMountedSystems'!D32)</f>
        <v/>
      </c>
      <c r="C21" s="236" t="str">
        <f>IF('Input-RoofMountedSystems'!E32="","",'Input-RoofMountedSystems'!E32)</f>
        <v/>
      </c>
      <c r="D21" s="236" t="str">
        <f>IF('Input-RoofMountedSystems'!F32="","",'Input-RoofMountedSystems'!F32)</f>
        <v/>
      </c>
      <c r="E21" s="236" t="str">
        <f>IF('Input-RoofMountedSystems'!G32="","",'Input-RoofMountedSystems'!G32)</f>
        <v/>
      </c>
      <c r="F21" s="236" t="str">
        <f>IF('Input-RoofMountedSystems'!H32="","",'Input-RoofMountedSystems'!H32)</f>
        <v/>
      </c>
      <c r="G21" s="236" t="str">
        <f>IF('Input-RoofMountedSystems'!I32="","",'Input-RoofMountedSystems'!I32)</f>
        <v/>
      </c>
      <c r="H21" s="236" t="str">
        <f>IF('Input-RoofMountedSystems'!J32="","",'Input-RoofMountedSystems'!J32)</f>
        <v/>
      </c>
    </row>
    <row r="30" spans="1:8" x14ac:dyDescent="0.2">
      <c r="B30" t="s">
        <v>323</v>
      </c>
    </row>
  </sheetData>
  <pageMargins left="0.7" right="0.7" top="0.75" bottom="0.75" header="0.3" footer="0.3"/>
  <pageSetup paperSize="5" scale="84" orientation="landscape" r:id="rId1"/>
  <headerFooter>
    <oddFooter>&amp;L&amp;"Source Sans Pro,Regular"&amp;9 © 2023 Fannie Mae.Trademarks of Fannie Mae. _x000D_&amp;1#&amp;"Calibri"&amp;10&amp;K000000 Fannie Mae Confidential&amp;C&amp;"Source Sans Pro,Regular"&amp;9&amp;A&amp;R&amp;"Source Sans Pro,Regular"&amp;9 Form 4099.I -  October 2023 Solar Rewards Intake Form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B30"/>
  <sheetViews>
    <sheetView zoomScale="90" zoomScaleNormal="90" workbookViewId="0"/>
  </sheetViews>
  <sheetFormatPr baseColWidth="10" defaultColWidth="8.83203125" defaultRowHeight="15" x14ac:dyDescent="0.2"/>
  <cols>
    <col min="1" max="1" width="23.83203125" style="10" bestFit="1" customWidth="1"/>
    <col min="2" max="2" width="26" style="10" bestFit="1" customWidth="1"/>
    <col min="3" max="3" width="32.6640625" style="10" bestFit="1" customWidth="1"/>
    <col min="4" max="4" width="25.6640625" style="10" customWidth="1"/>
    <col min="5" max="5" width="21.6640625" style="10" bestFit="1" customWidth="1"/>
    <col min="6" max="6" width="24.83203125" style="10" bestFit="1" customWidth="1"/>
    <col min="7" max="7" width="21.6640625" style="10" bestFit="1" customWidth="1"/>
    <col min="8" max="8" width="24.83203125" style="10" bestFit="1" customWidth="1"/>
    <col min="9" max="9" width="21.6640625" style="10" bestFit="1" customWidth="1"/>
    <col min="10" max="16384" width="8.83203125" style="10"/>
  </cols>
  <sheetData>
    <row r="1" spans="1:2" x14ac:dyDescent="0.2">
      <c r="A1" s="236" t="s">
        <v>400</v>
      </c>
      <c r="B1" s="236" t="s">
        <v>401</v>
      </c>
    </row>
    <row r="2" spans="1:2" x14ac:dyDescent="0.2">
      <c r="A2" s="240" t="str">
        <f>IF('Input-SystemDetails'!C61="","",'Input-SystemDetails'!C61)</f>
        <v>Utility Permission to Operate (PTO)</v>
      </c>
      <c r="B2" s="240">
        <f>'Input-SystemDetails'!D61</f>
        <v>52</v>
      </c>
    </row>
    <row r="3" spans="1:2" x14ac:dyDescent="0.2">
      <c r="A3" s="240" t="str">
        <f>IF('Input-SystemDetails'!C62="","",'Input-SystemDetails'!C62)</f>
        <v>Obtain Building Department Permit</v>
      </c>
      <c r="B3" s="240">
        <f>'Input-SystemDetails'!D62</f>
        <v>24</v>
      </c>
    </row>
    <row r="4" spans="1:2" x14ac:dyDescent="0.2">
      <c r="A4" s="240" t="str">
        <f>IF('Input-SystemDetails'!C63="","",'Input-SystemDetails'!C63)</f>
        <v>Obtain Electrical Permit</v>
      </c>
      <c r="B4" s="240">
        <f>'Input-SystemDetails'!D63</f>
        <v>8</v>
      </c>
    </row>
    <row r="5" spans="1:2" x14ac:dyDescent="0.2">
      <c r="A5" s="240" t="str">
        <f>IF('Input-SystemDetails'!C64="","",'Input-SystemDetails'!C64)</f>
        <v>Close out Building Department Permit</v>
      </c>
      <c r="B5" s="240">
        <f>IF('Input-SystemDetails'!D64="","",'Input-SystemDetails'!D64)</f>
        <v>12</v>
      </c>
    </row>
    <row r="6" spans="1:2" x14ac:dyDescent="0.2">
      <c r="A6" s="240" t="str">
        <f>IF('Input-SystemDetails'!C65="","",'Input-SystemDetails'!C65)</f>
        <v>Close out Electrical Permit</v>
      </c>
      <c r="B6" s="240">
        <f>IF('Input-SystemDetails'!D65="","",'Input-SystemDetails'!D65)</f>
        <v>40</v>
      </c>
    </row>
    <row r="7" spans="1:2" x14ac:dyDescent="0.2">
      <c r="A7" s="240" t="str">
        <f>IF('Input-SystemDetails'!C66="","",'Input-SystemDetails'!C66)</f>
        <v/>
      </c>
      <c r="B7" s="240" t="str">
        <f>IF('Input-SystemDetails'!D66="","",'Input-SystemDetails'!D66)</f>
        <v/>
      </c>
    </row>
    <row r="30" spans="2:2" x14ac:dyDescent="0.2">
      <c r="B30" s="10" t="s">
        <v>323</v>
      </c>
    </row>
  </sheetData>
  <pageMargins left="0.7" right="0.7" top="0.75" bottom="0.75" header="0.3" footer="0.3"/>
  <pageSetup paperSize="5" scale="84" orientation="landscape" r:id="rId1"/>
  <headerFooter>
    <oddFooter>&amp;L&amp;"Source Sans Pro,Regular"&amp;9 © 2023 Fannie Mae.Trademarks of Fannie Mae. _x000D_&amp;1#&amp;"Calibri"&amp;10&amp;K000000 Fannie Mae Confidential&amp;C&amp;"Source Sans Pro,Regular"&amp;9&amp;A&amp;R&amp;"Source Sans Pro,Regular"&amp;9 Form 4099.I -  October 2023 Solar Rewards Intake Form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AC36"/>
  <sheetViews>
    <sheetView zoomScale="90" zoomScaleNormal="90" workbookViewId="0"/>
  </sheetViews>
  <sheetFormatPr baseColWidth="10" defaultColWidth="8.83203125" defaultRowHeight="15" x14ac:dyDescent="0.2"/>
  <cols>
    <col min="1" max="1" width="47.1640625" bestFit="1" customWidth="1"/>
    <col min="2" max="2" width="13" customWidth="1"/>
    <col min="3" max="3" width="26.5" bestFit="1" customWidth="1"/>
    <col min="4" max="4" width="33.5" bestFit="1" customWidth="1"/>
    <col min="5" max="5" width="6.5" customWidth="1"/>
    <col min="6" max="13" width="5.6640625" bestFit="1" customWidth="1"/>
    <col min="14" max="29" width="6.6640625" bestFit="1" customWidth="1"/>
  </cols>
  <sheetData>
    <row r="1" spans="1:29" x14ac:dyDescent="0.2">
      <c r="A1" s="236" t="s">
        <v>311</v>
      </c>
      <c r="B1" s="236" t="s">
        <v>392</v>
      </c>
      <c r="C1" s="236" t="s">
        <v>312</v>
      </c>
      <c r="D1" s="236" t="s">
        <v>310</v>
      </c>
      <c r="E1" s="236" t="s">
        <v>279</v>
      </c>
      <c r="F1" s="236" t="s">
        <v>285</v>
      </c>
      <c r="G1" s="236" t="s">
        <v>286</v>
      </c>
      <c r="H1" s="236" t="s">
        <v>287</v>
      </c>
      <c r="I1" s="236" t="s">
        <v>288</v>
      </c>
      <c r="J1" s="236" t="s">
        <v>289</v>
      </c>
      <c r="K1" s="236" t="s">
        <v>290</v>
      </c>
      <c r="L1" s="236" t="s">
        <v>291</v>
      </c>
      <c r="M1" s="236" t="s">
        <v>292</v>
      </c>
      <c r="N1" s="236" t="s">
        <v>293</v>
      </c>
      <c r="O1" s="236" t="s">
        <v>294</v>
      </c>
      <c r="P1" s="236" t="s">
        <v>295</v>
      </c>
      <c r="Q1" s="236" t="s">
        <v>296</v>
      </c>
      <c r="R1" s="236" t="s">
        <v>297</v>
      </c>
      <c r="S1" s="236" t="s">
        <v>298</v>
      </c>
      <c r="T1" s="236" t="s">
        <v>299</v>
      </c>
      <c r="U1" s="236" t="s">
        <v>300</v>
      </c>
      <c r="V1" s="236" t="s">
        <v>301</v>
      </c>
      <c r="W1" s="236" t="s">
        <v>302</v>
      </c>
      <c r="X1" s="236" t="s">
        <v>303</v>
      </c>
      <c r="Y1" s="236" t="s">
        <v>304</v>
      </c>
      <c r="Z1" s="236" t="s">
        <v>305</v>
      </c>
      <c r="AA1" s="236" t="s">
        <v>306</v>
      </c>
      <c r="AB1" s="236" t="s">
        <v>307</v>
      </c>
      <c r="AC1" s="236" t="s">
        <v>308</v>
      </c>
    </row>
    <row r="2" spans="1:29" x14ac:dyDescent="0.2">
      <c r="A2" s="236" t="str">
        <f>'Input-UpfrontExpenses'!D8</f>
        <v>Array cost</v>
      </c>
      <c r="B2" s="236"/>
      <c r="C2" s="236" t="str">
        <f>IF('Input-UpfrontExpenses'!G8="","",'Input-UpfrontExpenses'!G8)</f>
        <v/>
      </c>
      <c r="D2" s="236"/>
      <c r="E2" s="236">
        <f>-ABS('Input-UpfrontExpenses'!F8)</f>
        <v>-595518</v>
      </c>
      <c r="F2" s="236"/>
      <c r="G2" s="236"/>
      <c r="H2" s="236"/>
      <c r="I2" s="236"/>
      <c r="J2" s="236"/>
      <c r="K2" s="236"/>
      <c r="L2" s="236"/>
      <c r="M2" s="236"/>
      <c r="N2" s="236"/>
      <c r="O2" s="236"/>
      <c r="P2" s="236"/>
      <c r="Q2" s="236"/>
      <c r="R2" s="236"/>
      <c r="S2" s="236"/>
      <c r="T2" s="236"/>
      <c r="U2" s="236"/>
      <c r="V2" s="236"/>
      <c r="W2" s="236"/>
      <c r="X2" s="236"/>
      <c r="Y2" s="236"/>
      <c r="Z2" s="236"/>
      <c r="AA2" s="236"/>
      <c r="AB2" s="236"/>
      <c r="AC2" s="236"/>
    </row>
    <row r="3" spans="1:29" x14ac:dyDescent="0.2">
      <c r="A3" s="236" t="str">
        <f>'Input-UpfrontExpenses'!D9</f>
        <v>Inverter cost</v>
      </c>
      <c r="B3" s="236"/>
      <c r="C3" s="236" t="str">
        <f>IF('Input-UpfrontExpenses'!G9="","",'Input-UpfrontExpenses'!G9)</f>
        <v/>
      </c>
      <c r="D3" s="236"/>
      <c r="E3" s="236">
        <f>-ABS('Input-UpfrontExpenses'!F9)</f>
        <v>-163000</v>
      </c>
      <c r="F3" s="236"/>
      <c r="G3" s="236"/>
      <c r="H3" s="236"/>
      <c r="I3" s="236"/>
      <c r="J3" s="236"/>
      <c r="K3" s="236"/>
      <c r="L3" s="236"/>
      <c r="M3" s="236"/>
      <c r="N3" s="236"/>
      <c r="O3" s="236"/>
      <c r="P3" s="236"/>
      <c r="Q3" s="236"/>
      <c r="R3" s="236"/>
      <c r="S3" s="236"/>
      <c r="T3" s="236"/>
      <c r="U3" s="236"/>
      <c r="V3" s="236"/>
      <c r="W3" s="236"/>
      <c r="X3" s="236"/>
      <c r="Y3" s="236"/>
      <c r="Z3" s="236"/>
      <c r="AA3" s="236"/>
      <c r="AB3" s="236"/>
      <c r="AC3" s="236"/>
    </row>
    <row r="4" spans="1:29" x14ac:dyDescent="0.2">
      <c r="A4" s="236" t="str">
        <f>'Input-UpfrontExpenses'!D10</f>
        <v>Balance of system (BOS) cost</v>
      </c>
      <c r="B4" s="236"/>
      <c r="C4" s="236" t="str">
        <f>IF('Input-UpfrontExpenses'!G10="","",'Input-UpfrontExpenses'!G10)</f>
        <v xml:space="preserve">Includes electrical, racking, and canopy construction </v>
      </c>
      <c r="D4" s="236"/>
      <c r="E4" s="236">
        <f>-ABS('Input-UpfrontExpenses'!F10)</f>
        <v>-843173</v>
      </c>
      <c r="F4" s="236"/>
      <c r="G4" s="236"/>
      <c r="H4" s="236"/>
      <c r="I4" s="236"/>
      <c r="J4" s="236"/>
      <c r="K4" s="236"/>
      <c r="L4" s="236"/>
      <c r="M4" s="236"/>
      <c r="N4" s="236"/>
      <c r="O4" s="236"/>
      <c r="P4" s="236"/>
      <c r="Q4" s="236"/>
      <c r="R4" s="236"/>
      <c r="S4" s="236"/>
      <c r="T4" s="236"/>
      <c r="U4" s="236"/>
      <c r="V4" s="236"/>
      <c r="W4" s="236"/>
      <c r="X4" s="236"/>
      <c r="Y4" s="236"/>
      <c r="Z4" s="236"/>
      <c r="AA4" s="236"/>
      <c r="AB4" s="236"/>
      <c r="AC4" s="236"/>
    </row>
    <row r="5" spans="1:29" x14ac:dyDescent="0.2">
      <c r="A5" s="236" t="str">
        <f>'Input-UpfrontExpenses'!D11</f>
        <v>Hard cost contingency</v>
      </c>
      <c r="B5" s="236"/>
      <c r="C5" s="236" t="str">
        <f>IF('Input-UpfrontExpenses'!G11="","",'Input-UpfrontExpenses'!G11)</f>
        <v/>
      </c>
      <c r="D5" s="236"/>
      <c r="E5" s="236">
        <f>-ABS('Input-UpfrontExpenses'!F11)</f>
        <v>-200000</v>
      </c>
      <c r="F5" s="236"/>
      <c r="G5" s="236"/>
      <c r="H5" s="236"/>
      <c r="I5" s="236"/>
      <c r="J5" s="236"/>
      <c r="K5" s="236"/>
      <c r="L5" s="236"/>
      <c r="M5" s="236"/>
      <c r="N5" s="236"/>
      <c r="O5" s="236"/>
      <c r="P5" s="236"/>
      <c r="Q5" s="236"/>
      <c r="R5" s="236"/>
      <c r="S5" s="236"/>
      <c r="T5" s="236"/>
      <c r="U5" s="236"/>
      <c r="V5" s="236"/>
      <c r="W5" s="236"/>
      <c r="X5" s="236"/>
      <c r="Y5" s="236"/>
      <c r="Z5" s="236"/>
      <c r="AA5" s="236"/>
      <c r="AB5" s="236"/>
      <c r="AC5" s="236"/>
    </row>
    <row r="6" spans="1:29" x14ac:dyDescent="0.2">
      <c r="A6" s="236" t="str">
        <f>'Input-UpfrontExpenses'!D12</f>
        <v>Labor</v>
      </c>
      <c r="B6" s="236"/>
      <c r="C6" s="236" t="str">
        <f>IF('Input-UpfrontExpenses'!G12="","",'Input-UpfrontExpenses'!G12)</f>
        <v/>
      </c>
      <c r="D6" s="236"/>
      <c r="E6" s="236">
        <f>-ABS('Input-UpfrontExpenses'!F12)</f>
        <v>-470357</v>
      </c>
      <c r="F6" s="236"/>
      <c r="G6" s="236"/>
      <c r="H6" s="236"/>
      <c r="I6" s="236"/>
      <c r="J6" s="236"/>
      <c r="K6" s="236"/>
      <c r="L6" s="236"/>
      <c r="M6" s="236"/>
      <c r="N6" s="236"/>
      <c r="O6" s="236"/>
      <c r="P6" s="236"/>
      <c r="Q6" s="236"/>
      <c r="R6" s="236"/>
      <c r="S6" s="236"/>
      <c r="T6" s="236"/>
      <c r="U6" s="236"/>
      <c r="V6" s="236"/>
      <c r="W6" s="236"/>
      <c r="X6" s="236"/>
      <c r="Y6" s="236"/>
      <c r="Z6" s="236"/>
      <c r="AA6" s="236"/>
      <c r="AB6" s="236"/>
      <c r="AC6" s="236"/>
    </row>
    <row r="7" spans="1:29" x14ac:dyDescent="0.2">
      <c r="A7" s="236" t="str">
        <f>'Input-UpfrontExpenses'!D13</f>
        <v>Design fees</v>
      </c>
      <c r="B7" s="236"/>
      <c r="C7" s="236" t="str">
        <f>IF('Input-UpfrontExpenses'!G13="","",'Input-UpfrontExpenses'!G13)</f>
        <v/>
      </c>
      <c r="D7" s="236"/>
      <c r="E7" s="236">
        <f>-ABS('Input-UpfrontExpenses'!F13)</f>
        <v>-120591</v>
      </c>
      <c r="F7" s="236"/>
      <c r="G7" s="236"/>
      <c r="H7" s="236"/>
      <c r="I7" s="236"/>
      <c r="J7" s="236"/>
      <c r="K7" s="236"/>
      <c r="L7" s="236"/>
      <c r="M7" s="236"/>
      <c r="N7" s="236"/>
      <c r="O7" s="236"/>
      <c r="P7" s="236"/>
      <c r="Q7" s="236"/>
      <c r="R7" s="236"/>
      <c r="S7" s="236"/>
      <c r="T7" s="236"/>
      <c r="U7" s="236"/>
      <c r="V7" s="236"/>
      <c r="W7" s="236"/>
      <c r="X7" s="236"/>
      <c r="Y7" s="236"/>
      <c r="Z7" s="236"/>
      <c r="AA7" s="236"/>
      <c r="AB7" s="236"/>
      <c r="AC7" s="236"/>
    </row>
    <row r="8" spans="1:29" x14ac:dyDescent="0.2">
      <c r="A8" s="236" t="s">
        <v>280</v>
      </c>
      <c r="B8" s="236"/>
      <c r="C8" s="236"/>
      <c r="D8" s="236"/>
      <c r="E8" s="236">
        <f>SUM(E2:E7)</f>
        <v>-2392639</v>
      </c>
      <c r="F8" s="236"/>
      <c r="G8" s="236"/>
      <c r="H8" s="236"/>
      <c r="I8" s="236"/>
      <c r="J8" s="236"/>
      <c r="K8" s="236"/>
      <c r="L8" s="236"/>
      <c r="M8" s="236"/>
      <c r="N8" s="236"/>
      <c r="O8" s="236"/>
      <c r="P8" s="236"/>
      <c r="Q8" s="236"/>
      <c r="R8" s="236"/>
      <c r="S8" s="236"/>
      <c r="T8" s="236"/>
      <c r="U8" s="236"/>
      <c r="V8" s="236"/>
      <c r="W8" s="236"/>
      <c r="X8" s="236"/>
      <c r="Y8" s="236"/>
      <c r="Z8" s="236"/>
      <c r="AA8" s="236"/>
      <c r="AB8" s="236"/>
      <c r="AC8" s="236"/>
    </row>
    <row r="9" spans="1:29" x14ac:dyDescent="0.2">
      <c r="A9" s="236" t="str">
        <f>'Input-UpfrontExpenses'!D16</f>
        <v>Roof replacement</v>
      </c>
      <c r="B9" s="236" t="str">
        <f>'Input-UpfrontExpenses'!E16</f>
        <v>Yes</v>
      </c>
      <c r="C9" s="236" t="str">
        <f>IF('Input-UpfrontExpenses'!G16="","",'Input-UpfrontExpenses'!G16)</f>
        <v/>
      </c>
      <c r="D9" s="236"/>
      <c r="E9" s="236">
        <f>-ABS('Input-UpfrontExpenses'!F16)</f>
        <v>-280000</v>
      </c>
      <c r="F9" s="236"/>
      <c r="G9" s="236"/>
      <c r="H9" s="236"/>
      <c r="I9" s="236"/>
      <c r="J9" s="236"/>
      <c r="K9" s="236"/>
      <c r="L9" s="236"/>
      <c r="M9" s="236"/>
      <c r="N9" s="236"/>
      <c r="O9" s="236"/>
      <c r="P9" s="236"/>
      <c r="Q9" s="236"/>
      <c r="R9" s="236"/>
      <c r="S9" s="236"/>
      <c r="T9" s="236"/>
      <c r="U9" s="236"/>
      <c r="V9" s="236"/>
      <c r="W9" s="236"/>
      <c r="X9" s="236"/>
      <c r="Y9" s="236"/>
      <c r="Z9" s="236"/>
      <c r="AA9" s="236"/>
      <c r="AB9" s="236"/>
      <c r="AC9" s="236"/>
    </row>
    <row r="10" spans="1:29" x14ac:dyDescent="0.2">
      <c r="A10" s="236" t="str">
        <f>'Input-UpfrontExpenses'!D17</f>
        <v>Structural upgrades</v>
      </c>
      <c r="B10" s="236" t="str">
        <f>'Input-UpfrontExpenses'!E17</f>
        <v>No</v>
      </c>
      <c r="C10" s="236" t="str">
        <f>IF('Input-UpfrontExpenses'!G17="","",'Input-UpfrontExpenses'!G17)</f>
        <v/>
      </c>
      <c r="D10" s="236"/>
      <c r="E10" s="236">
        <f>-ABS('Input-UpfrontExpenses'!F17)</f>
        <v>0</v>
      </c>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row>
    <row r="11" spans="1:29" x14ac:dyDescent="0.2">
      <c r="A11" s="236" t="str">
        <f>'Input-UpfrontExpenses'!D18</f>
        <v>Upgrades to existing building electrical system</v>
      </c>
      <c r="B11" s="236" t="str">
        <f>'Input-UpfrontExpenses'!E18</f>
        <v>No</v>
      </c>
      <c r="C11" s="236" t="str">
        <f>IF('Input-UpfrontExpenses'!G18="","",'Input-UpfrontExpenses'!G18)</f>
        <v/>
      </c>
      <c r="D11" s="236"/>
      <c r="E11" s="236">
        <f>-ABS('Input-UpfrontExpenses'!F18)</f>
        <v>0</v>
      </c>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row>
    <row r="12" spans="1:29" x14ac:dyDescent="0.2">
      <c r="A12" s="236" t="str">
        <f>'Input-UpfrontExpenses'!D19</f>
        <v>Tree removal</v>
      </c>
      <c r="B12" s="236" t="str">
        <f>'Input-UpfrontExpenses'!E19</f>
        <v>Yes</v>
      </c>
      <c r="C12" s="236" t="str">
        <f>IF('Input-UpfrontExpenses'!G19="","",'Input-UpfrontExpenses'!G19)</f>
        <v xml:space="preserve">Selective tree trimming </v>
      </c>
      <c r="D12" s="236"/>
      <c r="E12" s="236">
        <f>-ABS('Input-UpfrontExpenses'!F19)</f>
        <v>-2000</v>
      </c>
      <c r="F12" s="236"/>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row>
    <row r="13" spans="1:29" x14ac:dyDescent="0.2">
      <c r="A13" s="236" t="str">
        <f>'Input-UpfrontExpenses'!D20</f>
        <v>Parapet wall/safety rail upgrades</v>
      </c>
      <c r="B13" s="236" t="str">
        <f>'Input-UpfrontExpenses'!E20</f>
        <v>No</v>
      </c>
      <c r="C13" s="236" t="str">
        <f>IF('Input-UpfrontExpenses'!G20="","",'Input-UpfrontExpenses'!G20)</f>
        <v/>
      </c>
      <c r="D13" s="236"/>
      <c r="E13" s="236">
        <f>-ABS('Input-UpfrontExpenses'!F20)</f>
        <v>0</v>
      </c>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row>
    <row r="14" spans="1:29" x14ac:dyDescent="0.2">
      <c r="A14" s="236" t="str">
        <f>'Input-UpfrontExpenses'!D21</f>
        <v>Asbestos remediation</v>
      </c>
      <c r="B14" s="236" t="str">
        <f>'Input-UpfrontExpenses'!E21</f>
        <v>No</v>
      </c>
      <c r="C14" s="236" t="str">
        <f>IF('Input-UpfrontExpenses'!G21="","",'Input-UpfrontExpenses'!G21)</f>
        <v/>
      </c>
      <c r="D14" s="236"/>
      <c r="E14" s="236">
        <f>-ABS('Input-UpfrontExpenses'!F21)</f>
        <v>0</v>
      </c>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row>
    <row r="15" spans="1:29" x14ac:dyDescent="0.2">
      <c r="A15" s="236" t="str">
        <f>'Input-UpfrontExpenses'!D22</f>
        <v>Other pre-existing conditions</v>
      </c>
      <c r="B15" s="236" t="str">
        <f>'Input-UpfrontExpenses'!E22</f>
        <v>No</v>
      </c>
      <c r="C15" s="236" t="str">
        <f>IF('Input-UpfrontExpenses'!G22="","",'Input-UpfrontExpenses'!G22)</f>
        <v/>
      </c>
      <c r="D15" s="236"/>
      <c r="E15" s="236">
        <f>-ABS('Input-UpfrontExpenses'!F22)</f>
        <v>0</v>
      </c>
      <c r="F15" s="236"/>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row>
    <row r="16" spans="1:29" x14ac:dyDescent="0.2">
      <c r="A16" s="236" t="s">
        <v>281</v>
      </c>
      <c r="B16" s="236"/>
      <c r="C16" s="236"/>
      <c r="D16" s="236"/>
      <c r="E16" s="236">
        <f>SUM(E9:E15)</f>
        <v>-282000</v>
      </c>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row>
    <row r="17" spans="1:29" x14ac:dyDescent="0.2">
      <c r="A17" s="236" t="str">
        <f>'Input-UpfrontExpenses'!D24</f>
        <v>Network upgrade assessment fee</v>
      </c>
      <c r="B17" s="236" t="str">
        <f>'Input-UpfrontExpenses'!E24</f>
        <v>No</v>
      </c>
      <c r="C17" s="236" t="str">
        <f>IF('Input-UpfrontExpenses'!G24="","",'Input-UpfrontExpenses'!G24)</f>
        <v/>
      </c>
      <c r="D17" s="236"/>
      <c r="E17" s="236">
        <f>-ABS('Input-UpfrontExpenses'!F24)</f>
        <v>0</v>
      </c>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row>
    <row r="18" spans="1:29" x14ac:dyDescent="0.2">
      <c r="A18" s="236" t="str">
        <f>'Input-UpfrontExpenses'!D25</f>
        <v>Network upgrade costs</v>
      </c>
      <c r="B18" s="236" t="str">
        <f>'Input-UpfrontExpenses'!E25</f>
        <v>No</v>
      </c>
      <c r="C18" s="236" t="str">
        <f>IF('Input-UpfrontExpenses'!G25="","",'Input-UpfrontExpenses'!G25)</f>
        <v/>
      </c>
      <c r="D18" s="236"/>
      <c r="E18" s="236">
        <f>-ABS('Input-UpfrontExpenses'!F25)</f>
        <v>0</v>
      </c>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row>
    <row r="19" spans="1:29" x14ac:dyDescent="0.2">
      <c r="A19" s="236" t="str">
        <f>'Input-UpfrontExpenses'!D26</f>
        <v>Other upfront utility fees/costs due to solar</v>
      </c>
      <c r="B19" s="236" t="str">
        <f>'Input-UpfrontExpenses'!E26</f>
        <v>No</v>
      </c>
      <c r="C19" s="236" t="str">
        <f>IF('Input-UpfrontExpenses'!G26="","",'Input-UpfrontExpenses'!G26)</f>
        <v/>
      </c>
      <c r="D19" s="236"/>
      <c r="E19" s="236">
        <f>-ABS('Input-UpfrontExpenses'!F26)</f>
        <v>0</v>
      </c>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row>
    <row r="20" spans="1:29" x14ac:dyDescent="0.2">
      <c r="A20" s="236" t="s">
        <v>282</v>
      </c>
      <c r="B20" s="236"/>
      <c r="C20" s="236"/>
      <c r="D20" s="236"/>
      <c r="E20" s="236">
        <f>SUM(E17:E19)</f>
        <v>0</v>
      </c>
      <c r="F20" s="236"/>
      <c r="G20" s="236"/>
      <c r="H20" s="236"/>
      <c r="I20" s="236"/>
      <c r="J20" s="236"/>
      <c r="K20" s="236"/>
      <c r="L20" s="236"/>
      <c r="M20" s="236"/>
      <c r="N20" s="236"/>
      <c r="O20" s="236"/>
      <c r="P20" s="236"/>
      <c r="Q20" s="236"/>
      <c r="R20" s="236"/>
      <c r="S20" s="236"/>
      <c r="T20" s="236"/>
      <c r="U20" s="236"/>
      <c r="V20" s="236"/>
      <c r="W20" s="236"/>
      <c r="X20" s="236"/>
      <c r="Y20" s="236"/>
      <c r="Z20" s="236"/>
      <c r="AA20" s="236"/>
      <c r="AB20" s="236"/>
      <c r="AC20" s="236"/>
    </row>
    <row r="21" spans="1:29" x14ac:dyDescent="0.2">
      <c r="A21" s="236" t="str">
        <f>'Input-UpfrontExpenses'!D28</f>
        <v>Monthly fixed charges due to solar</v>
      </c>
      <c r="B21" s="236" t="str">
        <f>'Input-UpfrontExpenses'!E28</f>
        <v>No</v>
      </c>
      <c r="C21" s="236" t="str">
        <f>IF('Input-UpfrontExpenses'!G28="","",'Input-UpfrontExpenses'!G28)</f>
        <v/>
      </c>
      <c r="D21" s="236"/>
      <c r="E21" s="236">
        <f>-ABS('Input-UpfrontExpenses'!F28)</f>
        <v>0</v>
      </c>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row>
    <row r="22" spans="1:29" x14ac:dyDescent="0.2">
      <c r="A22" s="236" t="str">
        <f>'Input-UpfrontExpenses'!D29</f>
        <v>Other ongoing fees due to solar</v>
      </c>
      <c r="B22" s="236" t="str">
        <f>'Input-UpfrontExpenses'!E29</f>
        <v>No</v>
      </c>
      <c r="C22" s="236" t="str">
        <f>IF('Input-UpfrontExpenses'!G29="","",'Input-UpfrontExpenses'!G29)</f>
        <v/>
      </c>
      <c r="D22" s="236"/>
      <c r="E22" s="236">
        <f>-ABS('Input-UpfrontExpenses'!F29)</f>
        <v>0</v>
      </c>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row>
    <row r="23" spans="1:29" x14ac:dyDescent="0.2">
      <c r="A23" s="236" t="s">
        <v>283</v>
      </c>
      <c r="B23" s="236"/>
      <c r="C23" s="236"/>
      <c r="D23" s="238">
        <f>'Input-ProForma'!E26</f>
        <v>0</v>
      </c>
      <c r="E23" s="240">
        <f>SUM(E21:E22)</f>
        <v>0</v>
      </c>
      <c r="F23" s="240">
        <f>'Input-ProForma'!G26</f>
        <v>0</v>
      </c>
      <c r="G23" s="240">
        <f>'Input-ProForma'!H26</f>
        <v>0</v>
      </c>
      <c r="H23" s="240">
        <f>'Input-ProForma'!I26</f>
        <v>0</v>
      </c>
      <c r="I23" s="240">
        <f>'Input-ProForma'!J26</f>
        <v>0</v>
      </c>
      <c r="J23" s="240">
        <f>'Input-ProForma'!K26</f>
        <v>0</v>
      </c>
      <c r="K23" s="240">
        <f>'Input-ProForma'!L26</f>
        <v>0</v>
      </c>
      <c r="L23" s="240">
        <f>'Input-ProForma'!M26</f>
        <v>0</v>
      </c>
      <c r="M23" s="240">
        <f>'Input-ProForma'!N26</f>
        <v>0</v>
      </c>
      <c r="N23" s="240">
        <f>'Input-ProForma'!O26</f>
        <v>0</v>
      </c>
      <c r="O23" s="240">
        <f>'Input-ProForma'!P26</f>
        <v>0</v>
      </c>
      <c r="P23" s="240">
        <f>'Input-ProForma'!Q26</f>
        <v>0</v>
      </c>
      <c r="Q23" s="240">
        <f>'Input-ProForma'!E38</f>
        <v>0</v>
      </c>
      <c r="R23" s="240">
        <f>'Input-ProForma'!F38</f>
        <v>0</v>
      </c>
      <c r="S23" s="240">
        <f>'Input-ProForma'!G38</f>
        <v>0</v>
      </c>
      <c r="T23" s="240">
        <f>'Input-ProForma'!H38</f>
        <v>0</v>
      </c>
      <c r="U23" s="240">
        <f>'Input-ProForma'!I38</f>
        <v>0</v>
      </c>
      <c r="V23" s="240">
        <f>'Input-ProForma'!J38</f>
        <v>0</v>
      </c>
      <c r="W23" s="240">
        <f>'Input-ProForma'!K38</f>
        <v>0</v>
      </c>
      <c r="X23" s="240">
        <f>'Input-ProForma'!L38</f>
        <v>0</v>
      </c>
      <c r="Y23" s="240">
        <f>'Input-ProForma'!M38</f>
        <v>0</v>
      </c>
      <c r="Z23" s="240">
        <f>'Input-ProForma'!N38</f>
        <v>0</v>
      </c>
      <c r="AA23" s="240">
        <f>'Input-ProForma'!O38</f>
        <v>0</v>
      </c>
      <c r="AB23" s="240">
        <f>'Input-ProForma'!P38</f>
        <v>0</v>
      </c>
      <c r="AC23" s="240">
        <f>'Input-ProForma'!Q38</f>
        <v>0</v>
      </c>
    </row>
    <row r="24" spans="1:29" x14ac:dyDescent="0.2">
      <c r="A24" s="236" t="str">
        <f>'Input-ProForma'!C27</f>
        <v>O&amp;M costs</v>
      </c>
      <c r="B24" s="334" t="str">
        <f>'Input-UpfrontExpenses'!E31</f>
        <v>Yes</v>
      </c>
      <c r="C24" s="236" t="str">
        <f>IF('Input-UpfrontExpenses'!G31="","",'Input-UpfrontExpenses'!G31)</f>
        <v/>
      </c>
      <c r="D24" s="238">
        <f>'Input-ProForma'!E27</f>
        <v>0.03</v>
      </c>
      <c r="E24" s="240">
        <f>-ABS('Input-UpfrontExpenses'!F31)</f>
        <v>-80000</v>
      </c>
      <c r="F24" s="240">
        <f>'Input-ProForma'!G27</f>
        <v>-82400</v>
      </c>
      <c r="G24" s="240">
        <f>'Input-ProForma'!H27</f>
        <v>-84872</v>
      </c>
      <c r="H24" s="240">
        <f>'Input-ProForma'!I27</f>
        <v>-87418.16</v>
      </c>
      <c r="I24" s="240">
        <f>'Input-ProForma'!J27</f>
        <v>-90040.704800000007</v>
      </c>
      <c r="J24" s="240">
        <f>'Input-ProForma'!K27</f>
        <v>-92741.925944000002</v>
      </c>
      <c r="K24" s="240">
        <f>'Input-ProForma'!L27</f>
        <v>-95524.183722319998</v>
      </c>
      <c r="L24" s="240">
        <f>'Input-ProForma'!M27</f>
        <v>-98389.909233989601</v>
      </c>
      <c r="M24" s="240">
        <f>'Input-ProForma'!N27</f>
        <v>-101341.60651100929</v>
      </c>
      <c r="N24" s="240">
        <f>'Input-ProForma'!O27</f>
        <v>-104381.85470633957</v>
      </c>
      <c r="O24" s="240">
        <f>'Input-ProForma'!P27</f>
        <v>-107513.31034752975</v>
      </c>
      <c r="P24" s="240">
        <f>'Input-ProForma'!Q27</f>
        <v>-110738.70965795565</v>
      </c>
      <c r="Q24" s="240">
        <f>'Input-ProForma'!E39</f>
        <v>-114060.87094769432</v>
      </c>
      <c r="R24" s="240">
        <f>'Input-ProForma'!F39</f>
        <v>-117482.69707612516</v>
      </c>
      <c r="S24" s="240">
        <f>'Input-ProForma'!G39</f>
        <v>-121007.17798840892</v>
      </c>
      <c r="T24" s="240">
        <f>'Input-ProForma'!H39</f>
        <v>-124637.3933280612</v>
      </c>
      <c r="U24" s="240">
        <f>'Input-ProForma'!I39</f>
        <v>-128376.51512790304</v>
      </c>
      <c r="V24" s="240">
        <f>'Input-ProForma'!J39</f>
        <v>-132227.81058174014</v>
      </c>
      <c r="W24" s="240">
        <f>'Input-ProForma'!K39</f>
        <v>-136194.64489919235</v>
      </c>
      <c r="X24" s="240">
        <f>'Input-ProForma'!L39</f>
        <v>-140280.48424616814</v>
      </c>
      <c r="Y24" s="240">
        <f>'Input-ProForma'!M39</f>
        <v>-144488.8987735532</v>
      </c>
      <c r="Z24" s="240">
        <f>'Input-ProForma'!N39</f>
        <v>-148823.5657367598</v>
      </c>
      <c r="AA24" s="240">
        <f>'Input-ProForma'!O39</f>
        <v>-153288.27270886261</v>
      </c>
      <c r="AB24" s="240">
        <f>'Input-ProForma'!P39</f>
        <v>-157886.9208901285</v>
      </c>
      <c r="AC24" s="240">
        <f>'Input-ProForma'!Q39</f>
        <v>-162623.52851683236</v>
      </c>
    </row>
    <row r="25" spans="1:29" x14ac:dyDescent="0.2">
      <c r="A25" s="236" t="str">
        <f>'Input-ProForma'!C28</f>
        <v>Insurance</v>
      </c>
      <c r="B25" s="334"/>
      <c r="C25" s="236" t="str">
        <f>IF('Input-UpfrontExpenses'!G33="","",'Input-UpfrontExpenses'!G33)</f>
        <v/>
      </c>
      <c r="D25" s="238">
        <f>'Input-ProForma'!E28</f>
        <v>0</v>
      </c>
      <c r="E25" s="240">
        <f>-ABS('Input-UpfrontExpenses'!F33)</f>
        <v>0</v>
      </c>
      <c r="F25" s="240">
        <f>'Input-ProForma'!G28</f>
        <v>0</v>
      </c>
      <c r="G25" s="240">
        <f>'Input-ProForma'!H28</f>
        <v>0</v>
      </c>
      <c r="H25" s="240">
        <f>'Input-ProForma'!I28</f>
        <v>0</v>
      </c>
      <c r="I25" s="240">
        <f>'Input-ProForma'!J28</f>
        <v>0</v>
      </c>
      <c r="J25" s="240">
        <f>'Input-ProForma'!K28</f>
        <v>0</v>
      </c>
      <c r="K25" s="240">
        <f>'Input-ProForma'!L28</f>
        <v>0</v>
      </c>
      <c r="L25" s="240">
        <f>'Input-ProForma'!M28</f>
        <v>0</v>
      </c>
      <c r="M25" s="240">
        <f>'Input-ProForma'!N28</f>
        <v>0</v>
      </c>
      <c r="N25" s="240">
        <f>'Input-ProForma'!O28</f>
        <v>0</v>
      </c>
      <c r="O25" s="240">
        <f>'Input-ProForma'!P28</f>
        <v>0</v>
      </c>
      <c r="P25" s="240">
        <f>'Input-ProForma'!Q28</f>
        <v>0</v>
      </c>
      <c r="Q25" s="240">
        <f>'Input-ProForma'!E40</f>
        <v>0</v>
      </c>
      <c r="R25" s="240">
        <f>'Input-ProForma'!F40</f>
        <v>0</v>
      </c>
      <c r="S25" s="240">
        <f>'Input-ProForma'!G40</f>
        <v>0</v>
      </c>
      <c r="T25" s="240">
        <f>'Input-ProForma'!H40</f>
        <v>0</v>
      </c>
      <c r="U25" s="240">
        <f>'Input-ProForma'!I40</f>
        <v>0</v>
      </c>
      <c r="V25" s="240">
        <f>'Input-ProForma'!J40</f>
        <v>0</v>
      </c>
      <c r="W25" s="240">
        <f>'Input-ProForma'!K40</f>
        <v>0</v>
      </c>
      <c r="X25" s="240">
        <f>'Input-ProForma'!L40</f>
        <v>0</v>
      </c>
      <c r="Y25" s="240">
        <f>'Input-ProForma'!M40</f>
        <v>0</v>
      </c>
      <c r="Z25" s="240">
        <f>'Input-ProForma'!N40</f>
        <v>0</v>
      </c>
      <c r="AA25" s="240">
        <f>'Input-ProForma'!O40</f>
        <v>0</v>
      </c>
      <c r="AB25" s="240">
        <f>'Input-ProForma'!P40</f>
        <v>0</v>
      </c>
      <c r="AC25" s="240">
        <f>'Input-ProForma'!Q40</f>
        <v>0</v>
      </c>
    </row>
    <row r="26" spans="1:29" x14ac:dyDescent="0.2">
      <c r="A26" s="236" t="str">
        <f>'Input-ProForma'!C29</f>
        <v>Operating and replacement reserve</v>
      </c>
      <c r="B26" s="334"/>
      <c r="C26" s="236" t="str">
        <f>IF('Input-UpfrontExpenses'!G34="","",'Input-UpfrontExpenses'!G34)</f>
        <v/>
      </c>
      <c r="D26" s="238"/>
      <c r="E26" s="240">
        <f>-ABS('Input-UpfrontExpenses'!F34)</f>
        <v>0</v>
      </c>
      <c r="F26" s="240">
        <f>'Input-ProForma'!G29</f>
        <v>0</v>
      </c>
      <c r="G26" s="240">
        <f>'Input-ProForma'!H29</f>
        <v>0</v>
      </c>
      <c r="H26" s="240">
        <f>'Input-ProForma'!I29</f>
        <v>0</v>
      </c>
      <c r="I26" s="240">
        <f>'Input-ProForma'!J29</f>
        <v>0</v>
      </c>
      <c r="J26" s="240">
        <f>'Input-ProForma'!K29</f>
        <v>0</v>
      </c>
      <c r="K26" s="240">
        <f>'Input-ProForma'!L29</f>
        <v>0</v>
      </c>
      <c r="L26" s="240">
        <f>'Input-ProForma'!M29</f>
        <v>0</v>
      </c>
      <c r="M26" s="240">
        <f>'Input-ProForma'!N29</f>
        <v>0</v>
      </c>
      <c r="N26" s="240">
        <f>'Input-ProForma'!O29</f>
        <v>-40000</v>
      </c>
      <c r="O26" s="240">
        <f>'Input-ProForma'!P29</f>
        <v>0</v>
      </c>
      <c r="P26" s="240">
        <f>'Input-ProForma'!Q29</f>
        <v>-40000</v>
      </c>
      <c r="Q26" s="240">
        <f>'Input-ProForma'!E41</f>
        <v>0</v>
      </c>
      <c r="R26" s="240">
        <f>'Input-ProForma'!F41</f>
        <v>0</v>
      </c>
      <c r="S26" s="240">
        <f>'Input-ProForma'!G41</f>
        <v>0</v>
      </c>
      <c r="T26" s="240">
        <f>'Input-ProForma'!H41</f>
        <v>0</v>
      </c>
      <c r="U26" s="240">
        <f>'Input-ProForma'!I41</f>
        <v>0</v>
      </c>
      <c r="V26" s="240">
        <f>'Input-ProForma'!J41</f>
        <v>0</v>
      </c>
      <c r="W26" s="240">
        <f>'Input-ProForma'!K41</f>
        <v>0</v>
      </c>
      <c r="X26" s="240">
        <f>'Input-ProForma'!L41</f>
        <v>0</v>
      </c>
      <c r="Y26" s="240">
        <f>'Input-ProForma'!M41</f>
        <v>0</v>
      </c>
      <c r="Z26" s="240">
        <f>'Input-ProForma'!N41</f>
        <v>0</v>
      </c>
      <c r="AA26" s="240">
        <f>'Input-ProForma'!O41</f>
        <v>0</v>
      </c>
      <c r="AB26" s="240">
        <f>'Input-ProForma'!P41</f>
        <v>0</v>
      </c>
      <c r="AC26" s="240">
        <f>'Input-ProForma'!Q41</f>
        <v>0</v>
      </c>
    </row>
    <row r="27" spans="1:29" x14ac:dyDescent="0.2">
      <c r="A27" s="236" t="str">
        <f>'Input-ProForma'!C30</f>
        <v>Other expenses</v>
      </c>
      <c r="B27" s="334"/>
      <c r="C27" s="236"/>
      <c r="D27" s="238"/>
      <c r="E27" s="240">
        <f>-ABS('Input-UpfrontExpenses'!F35)</f>
        <v>0</v>
      </c>
      <c r="F27" s="240">
        <f>'Input-ProForma'!G30</f>
        <v>0</v>
      </c>
      <c r="G27" s="240">
        <f>'Input-ProForma'!H30</f>
        <v>0</v>
      </c>
      <c r="H27" s="240">
        <f>'Input-ProForma'!I30</f>
        <v>0</v>
      </c>
      <c r="I27" s="240">
        <f>'Input-ProForma'!J30</f>
        <v>0</v>
      </c>
      <c r="J27" s="240">
        <f>'Input-ProForma'!K30</f>
        <v>0</v>
      </c>
      <c r="K27" s="240">
        <f>'Input-ProForma'!L30</f>
        <v>0</v>
      </c>
      <c r="L27" s="240">
        <f>'Input-ProForma'!M30</f>
        <v>0</v>
      </c>
      <c r="M27" s="240">
        <f>'Input-ProForma'!N30</f>
        <v>0</v>
      </c>
      <c r="N27" s="240">
        <f>'Input-ProForma'!O30</f>
        <v>0</v>
      </c>
      <c r="O27" s="240">
        <f>'Input-ProForma'!P30</f>
        <v>0</v>
      </c>
      <c r="P27" s="240">
        <f>'Input-ProForma'!Q30</f>
        <v>0</v>
      </c>
      <c r="Q27" s="240">
        <f>'Input-ProForma'!E42</f>
        <v>0</v>
      </c>
      <c r="R27" s="240">
        <f>'Input-ProForma'!F42</f>
        <v>0</v>
      </c>
      <c r="S27" s="240">
        <f>'Input-ProForma'!G42</f>
        <v>0</v>
      </c>
      <c r="T27" s="240">
        <f>'Input-ProForma'!H42</f>
        <v>0</v>
      </c>
      <c r="U27" s="240">
        <f>'Input-ProForma'!I42</f>
        <v>0</v>
      </c>
      <c r="V27" s="240">
        <f>'Input-ProForma'!J42</f>
        <v>0</v>
      </c>
      <c r="W27" s="240">
        <f>'Input-ProForma'!K42</f>
        <v>0</v>
      </c>
      <c r="X27" s="240">
        <f>'Input-ProForma'!L42</f>
        <v>0</v>
      </c>
      <c r="Y27" s="240">
        <f>'Input-ProForma'!M42</f>
        <v>0</v>
      </c>
      <c r="Z27" s="240">
        <f>'Input-ProForma'!N42</f>
        <v>0</v>
      </c>
      <c r="AA27" s="240">
        <f>'Input-ProForma'!O42</f>
        <v>0</v>
      </c>
      <c r="AB27" s="240">
        <f>'Input-ProForma'!P42</f>
        <v>0</v>
      </c>
      <c r="AC27" s="240">
        <f>'Input-ProForma'!Q42</f>
        <v>0</v>
      </c>
    </row>
    <row r="28" spans="1:29" x14ac:dyDescent="0.2">
      <c r="A28" s="236" t="s">
        <v>92</v>
      </c>
      <c r="B28" s="236"/>
      <c r="C28" s="236"/>
      <c r="D28" s="238">
        <f>'Input-ProForma'!E11</f>
        <v>0.04</v>
      </c>
      <c r="E28" s="240">
        <f>'Input-ProForma'!F11</f>
        <v>148190</v>
      </c>
      <c r="F28" s="240">
        <f>'Input-ProForma'!G11</f>
        <v>154117.6</v>
      </c>
      <c r="G28" s="240">
        <f>'Input-ProForma'!H11</f>
        <v>160282.304</v>
      </c>
      <c r="H28" s="240">
        <f>'Input-ProForma'!I11</f>
        <v>166693.59616000002</v>
      </c>
      <c r="I28" s="240">
        <f>'Input-ProForma'!J11</f>
        <v>173361.34000640002</v>
      </c>
      <c r="J28" s="240">
        <f>'Input-ProForma'!K11</f>
        <v>180295.79360665602</v>
      </c>
      <c r="K28" s="240">
        <f>'Input-ProForma'!L11</f>
        <v>187507.62535092226</v>
      </c>
      <c r="L28" s="240">
        <f>'Input-ProForma'!M11</f>
        <v>195007.93036495915</v>
      </c>
      <c r="M28" s="240">
        <f>'Input-ProForma'!N11</f>
        <v>202808.24757955753</v>
      </c>
      <c r="N28" s="240">
        <f>'Input-ProForma'!O11</f>
        <v>210920.57748273984</v>
      </c>
      <c r="O28" s="240">
        <f>'Input-ProForma'!P11</f>
        <v>219357.40058204945</v>
      </c>
      <c r="P28" s="240">
        <f>'Input-ProForma'!Q11</f>
        <v>228131.69660533144</v>
      </c>
      <c r="Q28" s="240">
        <f>'Input-ProForma'!E35</f>
        <v>237256.96446954471</v>
      </c>
      <c r="R28" s="240">
        <f>'Input-ProForma'!F35</f>
        <v>246747.24304832649</v>
      </c>
      <c r="S28" s="240">
        <f>'Input-ProForma'!G35</f>
        <v>256617.13277025957</v>
      </c>
      <c r="T28" s="240">
        <f>'Input-ProForma'!H35</f>
        <v>266881.81808106997</v>
      </c>
      <c r="U28" s="240">
        <f>'Input-ProForma'!I35</f>
        <v>277557.09080431279</v>
      </c>
      <c r="V28" s="240">
        <f>'Input-ProForma'!J35</f>
        <v>288659.37443648529</v>
      </c>
      <c r="W28" s="240">
        <f>'Input-ProForma'!K35</f>
        <v>300205.74941394472</v>
      </c>
      <c r="X28" s="240">
        <f>'Input-ProForma'!L35</f>
        <v>312213.9793905025</v>
      </c>
      <c r="Y28" s="240">
        <f>'Input-ProForma'!M35</f>
        <v>324702.53856612259</v>
      </c>
      <c r="Z28" s="240">
        <f>'Input-ProForma'!N35</f>
        <v>337690.64010876749</v>
      </c>
      <c r="AA28" s="240">
        <f>'Input-ProForma'!O35</f>
        <v>351198.26571311819</v>
      </c>
      <c r="AB28" s="240">
        <f>'Input-ProForma'!P35</f>
        <v>365246.19634164294</v>
      </c>
      <c r="AC28" s="240">
        <f>'Input-ProForma'!Q35</f>
        <v>379856.04419530864</v>
      </c>
    </row>
    <row r="29" spans="1:29" x14ac:dyDescent="0.2">
      <c r="A29" s="236" t="s">
        <v>386</v>
      </c>
      <c r="B29" s="236" t="str">
        <f>'Input-Income'!D35</f>
        <v>No</v>
      </c>
      <c r="C29" s="236"/>
      <c r="D29" s="238"/>
      <c r="E29" s="240">
        <f>'Input-ProForma'!F12</f>
        <v>0</v>
      </c>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row>
    <row r="30" spans="1:29" x14ac:dyDescent="0.2">
      <c r="A30" s="236" t="s">
        <v>202</v>
      </c>
      <c r="B30" s="236" t="str">
        <f>'Input-Income'!D33</f>
        <v>Yes</v>
      </c>
      <c r="C30" s="236"/>
      <c r="D30" s="238"/>
      <c r="E30" s="240">
        <f>'Input-ProForma'!F13</f>
        <v>0</v>
      </c>
      <c r="F30" s="240">
        <f>'Input-ProForma'!G13</f>
        <v>0</v>
      </c>
      <c r="G30" s="240">
        <f>'Input-ProForma'!H13</f>
        <v>0</v>
      </c>
      <c r="H30" s="240">
        <f>'Input-ProForma'!I13</f>
        <v>0</v>
      </c>
      <c r="I30" s="240">
        <f>'Input-ProForma'!J13</f>
        <v>0</v>
      </c>
      <c r="J30" s="240">
        <f>'Input-ProForma'!K13</f>
        <v>0</v>
      </c>
      <c r="K30" s="240"/>
      <c r="L30" s="240"/>
      <c r="M30" s="240"/>
      <c r="N30" s="240"/>
      <c r="O30" s="240"/>
      <c r="P30" s="240"/>
      <c r="Q30" s="240"/>
      <c r="R30" s="240"/>
      <c r="S30" s="240"/>
      <c r="T30" s="240"/>
      <c r="U30" s="240"/>
      <c r="V30" s="240"/>
      <c r="W30" s="240"/>
      <c r="X30" s="240"/>
      <c r="Y30" s="240"/>
      <c r="Z30" s="240"/>
      <c r="AA30" s="240"/>
      <c r="AB30" s="240"/>
      <c r="AC30" s="240"/>
    </row>
    <row r="31" spans="1:29" x14ac:dyDescent="0.2">
      <c r="A31" s="236" t="s">
        <v>211</v>
      </c>
      <c r="B31" s="236" t="str">
        <f>'Input-Income'!D37</f>
        <v>Yes</v>
      </c>
      <c r="C31" s="236"/>
      <c r="D31" s="238"/>
      <c r="E31" s="240">
        <f>'Input-ProForma'!F15</f>
        <v>761123</v>
      </c>
      <c r="F31" s="240">
        <f>'Input-ProForma'!G15</f>
        <v>0</v>
      </c>
      <c r="G31" s="240">
        <f>'Input-ProForma'!H15</f>
        <v>0</v>
      </c>
      <c r="H31" s="240">
        <f>'Input-ProForma'!I15</f>
        <v>0</v>
      </c>
      <c r="I31" s="240">
        <f>'Input-ProForma'!J15</f>
        <v>0</v>
      </c>
      <c r="J31" s="240">
        <f>'Input-ProForma'!K15</f>
        <v>0</v>
      </c>
      <c r="K31" s="240"/>
      <c r="L31" s="240"/>
      <c r="M31" s="240"/>
      <c r="N31" s="240"/>
      <c r="O31" s="240"/>
      <c r="P31" s="240"/>
      <c r="Q31" s="240"/>
      <c r="R31" s="240"/>
      <c r="S31" s="240"/>
      <c r="T31" s="240"/>
      <c r="U31" s="240"/>
      <c r="V31" s="240"/>
      <c r="W31" s="240"/>
      <c r="X31" s="240"/>
      <c r="Y31" s="240"/>
      <c r="Z31" s="240"/>
      <c r="AA31" s="240"/>
      <c r="AB31" s="240"/>
      <c r="AC31" s="240"/>
    </row>
    <row r="32" spans="1:29" x14ac:dyDescent="0.2">
      <c r="A32" s="236" t="s">
        <v>196</v>
      </c>
      <c r="B32" s="236" t="str">
        <f>'Input-Income'!D41</f>
        <v>Yes</v>
      </c>
      <c r="C32" s="236"/>
      <c r="D32" s="238"/>
      <c r="E32" s="240">
        <f>'Input-ProForma'!F19</f>
        <v>358032</v>
      </c>
      <c r="F32" s="240">
        <f>'Input-ProForma'!G19</f>
        <v>27297</v>
      </c>
      <c r="G32" s="240">
        <f>'Input-ProForma'!H19</f>
        <v>16367</v>
      </c>
      <c r="H32" s="240">
        <f>'Input-ProForma'!I19</f>
        <v>9820</v>
      </c>
      <c r="I32" s="240">
        <f>'Input-ProForma'!J19</f>
        <v>9820</v>
      </c>
      <c r="J32" s="240">
        <f>'Input-ProForma'!K19</f>
        <v>4910</v>
      </c>
      <c r="K32" s="240"/>
      <c r="L32" s="240"/>
      <c r="M32" s="240"/>
      <c r="N32" s="240"/>
      <c r="O32" s="240"/>
      <c r="P32" s="240"/>
      <c r="Q32" s="240"/>
      <c r="R32" s="240"/>
      <c r="S32" s="240"/>
      <c r="T32" s="240"/>
      <c r="U32" s="240"/>
      <c r="V32" s="240"/>
      <c r="W32" s="240"/>
      <c r="X32" s="240"/>
      <c r="Y32" s="240"/>
      <c r="Z32" s="240"/>
      <c r="AA32" s="240"/>
      <c r="AB32" s="240"/>
      <c r="AC32" s="240"/>
    </row>
    <row r="33" spans="1:29" x14ac:dyDescent="0.2">
      <c r="A33" s="236" t="s">
        <v>203</v>
      </c>
      <c r="B33" s="236" t="str">
        <f>'Input-Income'!D42</f>
        <v>Yes</v>
      </c>
      <c r="C33" s="236" t="str">
        <f>IF('Input-Income'!G42="","",'Input-Income'!G42)</f>
        <v>State depreciation</v>
      </c>
      <c r="D33" s="238"/>
      <c r="E33" s="240">
        <f>'Input-ProForma'!F20</f>
        <v>19891</v>
      </c>
      <c r="F33" s="240">
        <f>'Input-ProForma'!G20</f>
        <v>31825</v>
      </c>
      <c r="G33" s="240">
        <f>'Input-ProForma'!H20</f>
        <v>19095</v>
      </c>
      <c r="H33" s="240">
        <f>'Input-ProForma'!I20</f>
        <v>11457</v>
      </c>
      <c r="I33" s="240">
        <f>'Input-ProForma'!J20</f>
        <v>11457</v>
      </c>
      <c r="J33" s="240">
        <f>'Input-ProForma'!K20</f>
        <v>5729</v>
      </c>
      <c r="K33" s="240">
        <f>'Input-ProForma'!L20</f>
        <v>0</v>
      </c>
      <c r="L33" s="240">
        <f>'Input-ProForma'!M20</f>
        <v>0</v>
      </c>
      <c r="M33" s="240">
        <f>'Input-ProForma'!N20</f>
        <v>0</v>
      </c>
      <c r="N33" s="240">
        <f>'Input-ProForma'!O20</f>
        <v>0</v>
      </c>
      <c r="O33" s="240">
        <f>'Input-ProForma'!P20</f>
        <v>0</v>
      </c>
      <c r="P33" s="240">
        <f>'Input-ProForma'!Q20</f>
        <v>0</v>
      </c>
      <c r="Q33" s="240"/>
      <c r="R33" s="240"/>
      <c r="S33" s="240"/>
      <c r="T33" s="240"/>
      <c r="U33" s="240"/>
      <c r="V33" s="240"/>
      <c r="W33" s="240"/>
      <c r="X33" s="240"/>
      <c r="Y33" s="240"/>
      <c r="Z33" s="240"/>
      <c r="AA33" s="240"/>
      <c r="AB33" s="240"/>
      <c r="AC33" s="240"/>
    </row>
    <row r="34" spans="1:29" x14ac:dyDescent="0.2">
      <c r="A34" s="236" t="s">
        <v>309</v>
      </c>
      <c r="B34" s="236"/>
      <c r="C34" s="236"/>
      <c r="D34" s="236"/>
      <c r="E34" s="240">
        <f>SUM(E31:E33)</f>
        <v>1139046</v>
      </c>
      <c r="F34" s="240">
        <f>SUM(F31:F33)</f>
        <v>59122</v>
      </c>
      <c r="G34" s="240">
        <f t="shared" ref="G34:N34" si="0">SUM(G31:G33)</f>
        <v>35462</v>
      </c>
      <c r="H34" s="240">
        <f t="shared" si="0"/>
        <v>21277</v>
      </c>
      <c r="I34" s="240">
        <f t="shared" si="0"/>
        <v>21277</v>
      </c>
      <c r="J34" s="240">
        <f t="shared" si="0"/>
        <v>10639</v>
      </c>
      <c r="K34" s="240">
        <f t="shared" si="0"/>
        <v>0</v>
      </c>
      <c r="L34" s="240">
        <f t="shared" si="0"/>
        <v>0</v>
      </c>
      <c r="M34" s="240">
        <f t="shared" si="0"/>
        <v>0</v>
      </c>
      <c r="N34" s="240">
        <f t="shared" si="0"/>
        <v>0</v>
      </c>
      <c r="O34" s="240">
        <f>SUM(O31:O33)</f>
        <v>0</v>
      </c>
      <c r="P34" s="240">
        <f>SUM(P31:P33)</f>
        <v>0</v>
      </c>
      <c r="Q34" s="240">
        <f>SUM(Q31:Q33)</f>
        <v>0</v>
      </c>
      <c r="R34" s="240">
        <f t="shared" ref="R34" si="1">SUM(R31:R33)</f>
        <v>0</v>
      </c>
      <c r="S34" s="240">
        <f t="shared" ref="S34" si="2">SUM(S31:S33)</f>
        <v>0</v>
      </c>
      <c r="T34" s="240">
        <f t="shared" ref="T34" si="3">SUM(T31:T33)</f>
        <v>0</v>
      </c>
      <c r="U34" s="240">
        <f>SUM(U31:U33)</f>
        <v>0</v>
      </c>
      <c r="V34" s="240">
        <f t="shared" ref="V34" si="4">SUM(V31:V33)</f>
        <v>0</v>
      </c>
      <c r="W34" s="240">
        <f t="shared" ref="W34" si="5">SUM(W31:W33)</f>
        <v>0</v>
      </c>
      <c r="X34" s="240">
        <f t="shared" ref="X34" si="6">SUM(X31:X33)</f>
        <v>0</v>
      </c>
      <c r="Y34" s="240">
        <f t="shared" ref="Y34" si="7">SUM(Y31:Y33)</f>
        <v>0</v>
      </c>
      <c r="Z34" s="240">
        <f t="shared" ref="Z34" si="8">SUM(Z31:Z33)</f>
        <v>0</v>
      </c>
      <c r="AA34" s="240">
        <f t="shared" ref="AA34" si="9">SUM(AA31:AA33)</f>
        <v>0</v>
      </c>
      <c r="AB34" s="240">
        <f t="shared" ref="AB34" si="10">SUM(AB31:AB33)</f>
        <v>0</v>
      </c>
      <c r="AC34" s="240">
        <f t="shared" ref="AC34" si="11">SUM(AC31:AC33)</f>
        <v>0</v>
      </c>
    </row>
    <row r="35" spans="1:29" x14ac:dyDescent="0.2">
      <c r="A35" s="236" t="s">
        <v>435</v>
      </c>
      <c r="B35" s="236" t="str">
        <f>'Input-Income'!D44</f>
        <v>No</v>
      </c>
      <c r="C35" s="236" t="str">
        <f>IF('Input-Income'!G44="","",'Input-Income'!G44)</f>
        <v/>
      </c>
      <c r="D35" s="236"/>
      <c r="E35" s="240">
        <f>'Input-ProForma'!F21</f>
        <v>0</v>
      </c>
      <c r="F35" s="240">
        <f>'Input-ProForma'!G21</f>
        <v>0</v>
      </c>
      <c r="G35" s="240">
        <f>'Input-ProForma'!H21</f>
        <v>0</v>
      </c>
      <c r="H35" s="240">
        <f>'Input-ProForma'!I21</f>
        <v>0</v>
      </c>
      <c r="I35" s="240">
        <f>'Input-ProForma'!J21</f>
        <v>0</v>
      </c>
      <c r="J35" s="240">
        <f>'Input-ProForma'!K21</f>
        <v>0</v>
      </c>
      <c r="K35" s="240">
        <f>'Input-ProForma'!L21</f>
        <v>0</v>
      </c>
      <c r="L35" s="240">
        <f>'Input-ProForma'!M21</f>
        <v>0</v>
      </c>
      <c r="M35" s="240">
        <f>'Input-ProForma'!N21</f>
        <v>0</v>
      </c>
      <c r="N35" s="240">
        <f>'Input-ProForma'!O21</f>
        <v>0</v>
      </c>
      <c r="O35" s="240">
        <f>'Input-ProForma'!P21</f>
        <v>0</v>
      </c>
      <c r="P35" s="240">
        <f>'Input-ProForma'!Q21</f>
        <v>0</v>
      </c>
      <c r="Q35" s="240">
        <f>'Input-ProForma'!E36</f>
        <v>0</v>
      </c>
      <c r="R35" s="240">
        <f>'Input-ProForma'!F36</f>
        <v>0</v>
      </c>
      <c r="S35" s="240">
        <f>'Input-ProForma'!G36</f>
        <v>0</v>
      </c>
      <c r="T35" s="240">
        <f>'Input-ProForma'!H36</f>
        <v>0</v>
      </c>
      <c r="U35" s="240">
        <f>'Input-ProForma'!I36</f>
        <v>0</v>
      </c>
      <c r="V35" s="240">
        <f>'Input-ProForma'!J36</f>
        <v>0</v>
      </c>
      <c r="W35" s="240">
        <f>'Input-ProForma'!K36</f>
        <v>0</v>
      </c>
      <c r="X35" s="240">
        <f>'Input-ProForma'!L36</f>
        <v>0</v>
      </c>
      <c r="Y35" s="240">
        <f>'Input-ProForma'!M36</f>
        <v>0</v>
      </c>
      <c r="Z35" s="240">
        <f>'Input-ProForma'!N36</f>
        <v>0</v>
      </c>
      <c r="AA35" s="240">
        <f>'Input-ProForma'!O36</f>
        <v>0</v>
      </c>
      <c r="AB35" s="240">
        <f>'Input-ProForma'!P36</f>
        <v>0</v>
      </c>
      <c r="AC35" s="240">
        <f>'Input-ProForma'!Q36</f>
        <v>0</v>
      </c>
    </row>
    <row r="36" spans="1:29" x14ac:dyDescent="0.2">
      <c r="A36" s="236" t="s">
        <v>284</v>
      </c>
      <c r="B36" s="236"/>
      <c r="C36" s="236"/>
      <c r="D36" s="236"/>
      <c r="E36" s="240">
        <f>'Input-ProForma'!F31</f>
        <v>-1358134</v>
      </c>
      <c r="F36" s="240">
        <f>'Input-ProForma'!G31</f>
        <v>130839.6</v>
      </c>
      <c r="G36" s="240">
        <f>'Input-ProForma'!H31</f>
        <v>110872.304</v>
      </c>
      <c r="H36" s="240">
        <f>'Input-ProForma'!I31</f>
        <v>100552.43616000001</v>
      </c>
      <c r="I36" s="240">
        <f>'Input-ProForma'!J31</f>
        <v>104597.63520640001</v>
      </c>
      <c r="J36" s="240">
        <f>'Input-ProForma'!K31</f>
        <v>98192.867662656019</v>
      </c>
      <c r="K36" s="240">
        <f>'Input-ProForma'!L31</f>
        <v>91983.441628602261</v>
      </c>
      <c r="L36" s="240">
        <f>'Input-ProForma'!M31</f>
        <v>96618.021130969544</v>
      </c>
      <c r="M36" s="240">
        <f>'Input-ProForma'!N31</f>
        <v>101466.64106854824</v>
      </c>
      <c r="N36" s="240">
        <f>'Input-ProForma'!O31</f>
        <v>66538.722776400275</v>
      </c>
      <c r="O36" s="240">
        <f>'Input-ProForma'!P31</f>
        <v>111844.0902345197</v>
      </c>
      <c r="P36" s="240">
        <f>'Input-ProForma'!Q31</f>
        <v>77392.986947375786</v>
      </c>
      <c r="Q36" s="240">
        <f>'Input-ProForma'!E43</f>
        <v>123196.09352185039</v>
      </c>
      <c r="R36" s="240">
        <f>'Input-ProForma'!F43</f>
        <v>129264.54597220133</v>
      </c>
      <c r="S36" s="240">
        <f>'Input-ProForma'!G43</f>
        <v>135609.95478185065</v>
      </c>
      <c r="T36" s="240">
        <f>'Input-ProForma'!H43</f>
        <v>142244.42475300876</v>
      </c>
      <c r="U36" s="240">
        <f>SUM(U32:U34)</f>
        <v>0</v>
      </c>
      <c r="V36" s="240">
        <f>'Input-ProForma'!J43</f>
        <v>156431.56385474515</v>
      </c>
      <c r="W36" s="240">
        <f>'Input-ProForma'!K43</f>
        <v>164011.10451475237</v>
      </c>
      <c r="X36" s="240">
        <f>'Input-ProForma'!L43</f>
        <v>171933.49514433436</v>
      </c>
      <c r="Y36" s="240">
        <f>'Input-ProForma'!M43</f>
        <v>180213.63979256939</v>
      </c>
      <c r="Z36" s="240">
        <f>'Input-ProForma'!N43</f>
        <v>188867.07437200769</v>
      </c>
      <c r="AA36" s="240">
        <f>'Input-ProForma'!O43</f>
        <v>197909.99300425558</v>
      </c>
      <c r="AB36" s="240">
        <f>'Input-ProForma'!P43</f>
        <v>207359.27545151443</v>
      </c>
      <c r="AC36" s="240">
        <f>'Input-ProForma'!Q43</f>
        <v>217232.51567847628</v>
      </c>
    </row>
  </sheetData>
  <pageMargins left="0.7" right="0.7" top="0.75" bottom="0.75" header="0.3" footer="0.3"/>
  <pageSetup paperSize="5" scale="84" orientation="portrait" r:id="rId1"/>
  <headerFooter>
    <oddFooter>&amp;L&amp;"Source Sans Pro,Regular"&amp;9 © 2023 Fannie Mae.Trademarks of Fannie Mae. _x000D_&amp;1#&amp;"Calibri"&amp;10&amp;K000000 Fannie Mae Confidential&amp;C&amp;"Source Sans Pro,Regular"&amp;9&amp;A&amp;R&amp;"Source Sans Pro,Regular"&amp;9 Form 4099.I -  October 2023 Solar Rewards Intake Form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34"/>
  <sheetViews>
    <sheetView zoomScaleNormal="100" workbookViewId="0"/>
  </sheetViews>
  <sheetFormatPr baseColWidth="10" defaultColWidth="8.83203125" defaultRowHeight="15" x14ac:dyDescent="0.2"/>
  <cols>
    <col min="1" max="2" width="19.5" customWidth="1"/>
  </cols>
  <sheetData>
    <row r="1" spans="1:17" x14ac:dyDescent="0.2">
      <c r="A1" s="4" t="s">
        <v>24</v>
      </c>
      <c r="B1" s="4" t="s">
        <v>101</v>
      </c>
      <c r="C1" s="4" t="s">
        <v>17</v>
      </c>
      <c r="D1" s="4" t="s">
        <v>44</v>
      </c>
      <c r="E1" s="4" t="s">
        <v>342</v>
      </c>
      <c r="F1" s="4" t="s">
        <v>343</v>
      </c>
      <c r="G1" s="4" t="s">
        <v>28</v>
      </c>
      <c r="H1" s="4" t="s">
        <v>107</v>
      </c>
      <c r="I1" s="5" t="s">
        <v>132</v>
      </c>
      <c r="J1" s="4" t="s">
        <v>158</v>
      </c>
      <c r="K1" s="4" t="s">
        <v>185</v>
      </c>
      <c r="L1" s="4" t="s">
        <v>341</v>
      </c>
      <c r="M1" s="4" t="s">
        <v>199</v>
      </c>
      <c r="N1" s="4" t="s">
        <v>233</v>
      </c>
      <c r="O1" s="4" t="s">
        <v>335</v>
      </c>
      <c r="P1" s="4" t="s">
        <v>472</v>
      </c>
      <c r="Q1" s="4" t="s">
        <v>476</v>
      </c>
    </row>
    <row r="2" spans="1:17" x14ac:dyDescent="0.2">
      <c r="A2" t="s">
        <v>20</v>
      </c>
      <c r="B2" t="s">
        <v>20</v>
      </c>
      <c r="C2" s="3" t="s">
        <v>25</v>
      </c>
      <c r="D2" t="s">
        <v>45</v>
      </c>
      <c r="E2" s="1" t="s">
        <v>53</v>
      </c>
      <c r="F2" t="s">
        <v>55</v>
      </c>
      <c r="G2" s="6" t="s">
        <v>120</v>
      </c>
      <c r="H2" s="6" t="s">
        <v>146</v>
      </c>
      <c r="I2" t="s">
        <v>133</v>
      </c>
      <c r="J2" t="s">
        <v>157</v>
      </c>
      <c r="K2">
        <v>1</v>
      </c>
      <c r="L2" t="s">
        <v>182</v>
      </c>
      <c r="M2" t="s">
        <v>45</v>
      </c>
      <c r="N2" t="s">
        <v>234</v>
      </c>
      <c r="O2" t="s">
        <v>337</v>
      </c>
      <c r="P2" t="s">
        <v>473</v>
      </c>
      <c r="Q2" s="355">
        <v>0.1</v>
      </c>
    </row>
    <row r="3" spans="1:17" x14ac:dyDescent="0.2">
      <c r="A3" t="s">
        <v>21</v>
      </c>
      <c r="B3" t="s">
        <v>102</v>
      </c>
      <c r="C3" t="s">
        <v>27</v>
      </c>
      <c r="D3" t="s">
        <v>46</v>
      </c>
      <c r="E3" s="1" t="s">
        <v>54</v>
      </c>
      <c r="F3" t="s">
        <v>56</v>
      </c>
      <c r="G3" s="6" t="s">
        <v>119</v>
      </c>
      <c r="H3" s="6" t="s">
        <v>144</v>
      </c>
      <c r="I3" t="s">
        <v>134</v>
      </c>
      <c r="J3" t="s">
        <v>159</v>
      </c>
      <c r="K3">
        <v>2</v>
      </c>
      <c r="L3" t="s">
        <v>183</v>
      </c>
      <c r="M3" t="s">
        <v>46</v>
      </c>
      <c r="N3" t="s">
        <v>235</v>
      </c>
      <c r="O3" t="s">
        <v>338</v>
      </c>
      <c r="P3" t="s">
        <v>474</v>
      </c>
      <c r="Q3" s="355">
        <v>0.2</v>
      </c>
    </row>
    <row r="4" spans="1:17" x14ac:dyDescent="0.2">
      <c r="A4" t="s">
        <v>22</v>
      </c>
      <c r="B4" t="s">
        <v>103</v>
      </c>
      <c r="C4" t="s">
        <v>26</v>
      </c>
      <c r="D4" t="s">
        <v>32</v>
      </c>
      <c r="E4" s="1" t="s">
        <v>417</v>
      </c>
      <c r="F4" t="s">
        <v>32</v>
      </c>
      <c r="G4" s="6" t="s">
        <v>366</v>
      </c>
      <c r="H4" s="6" t="s">
        <v>147</v>
      </c>
      <c r="I4" t="s">
        <v>443</v>
      </c>
      <c r="J4" t="s">
        <v>188</v>
      </c>
      <c r="K4">
        <v>3</v>
      </c>
      <c r="L4" t="s">
        <v>184</v>
      </c>
      <c r="M4" t="s">
        <v>200</v>
      </c>
      <c r="O4" t="s">
        <v>339</v>
      </c>
      <c r="P4" t="s">
        <v>475</v>
      </c>
      <c r="Q4" s="355">
        <v>0.2</v>
      </c>
    </row>
    <row r="5" spans="1:17" x14ac:dyDescent="0.2">
      <c r="A5" t="s">
        <v>23</v>
      </c>
      <c r="B5" t="s">
        <v>26</v>
      </c>
      <c r="E5" s="1" t="s">
        <v>32</v>
      </c>
      <c r="G5" s="6" t="s">
        <v>26</v>
      </c>
      <c r="H5" s="6" t="s">
        <v>32</v>
      </c>
      <c r="I5" t="s">
        <v>444</v>
      </c>
      <c r="J5" t="s">
        <v>26</v>
      </c>
      <c r="O5" t="s">
        <v>340</v>
      </c>
      <c r="P5" t="s">
        <v>46</v>
      </c>
    </row>
    <row r="6" spans="1:17" x14ac:dyDescent="0.2">
      <c r="A6" t="s">
        <v>26</v>
      </c>
      <c r="I6" t="s">
        <v>370</v>
      </c>
    </row>
    <row r="7" spans="1:17" x14ac:dyDescent="0.2">
      <c r="I7" t="s">
        <v>135</v>
      </c>
    </row>
    <row r="8" spans="1:17" x14ac:dyDescent="0.2">
      <c r="I8" t="s">
        <v>136</v>
      </c>
    </row>
    <row r="9" spans="1:17" x14ac:dyDescent="0.2">
      <c r="I9" t="s">
        <v>137</v>
      </c>
    </row>
    <row r="10" spans="1:17" x14ac:dyDescent="0.2">
      <c r="I10" t="s">
        <v>445</v>
      </c>
    </row>
    <row r="11" spans="1:17" x14ac:dyDescent="0.2">
      <c r="I11" t="s">
        <v>138</v>
      </c>
    </row>
    <row r="12" spans="1:17" x14ac:dyDescent="0.2">
      <c r="I12" t="s">
        <v>446</v>
      </c>
    </row>
    <row r="13" spans="1:17" x14ac:dyDescent="0.2">
      <c r="I13" t="s">
        <v>447</v>
      </c>
    </row>
    <row r="14" spans="1:17" x14ac:dyDescent="0.2">
      <c r="I14" t="s">
        <v>448</v>
      </c>
    </row>
    <row r="15" spans="1:17" x14ac:dyDescent="0.2">
      <c r="B15" s="1"/>
      <c r="I15" t="s">
        <v>449</v>
      </c>
    </row>
    <row r="16" spans="1:17" x14ac:dyDescent="0.2">
      <c r="I16" t="s">
        <v>450</v>
      </c>
    </row>
    <row r="17" spans="9:9" x14ac:dyDescent="0.2">
      <c r="I17" t="s">
        <v>451</v>
      </c>
    </row>
    <row r="18" spans="9:9" x14ac:dyDescent="0.2">
      <c r="I18" t="s">
        <v>452</v>
      </c>
    </row>
    <row r="19" spans="9:9" x14ac:dyDescent="0.2">
      <c r="I19" t="s">
        <v>453</v>
      </c>
    </row>
    <row r="20" spans="9:9" x14ac:dyDescent="0.2">
      <c r="I20" t="s">
        <v>454</v>
      </c>
    </row>
    <row r="21" spans="9:9" x14ac:dyDescent="0.2">
      <c r="I21" t="s">
        <v>139</v>
      </c>
    </row>
    <row r="22" spans="9:9" x14ac:dyDescent="0.2">
      <c r="I22" t="s">
        <v>455</v>
      </c>
    </row>
    <row r="23" spans="9:9" x14ac:dyDescent="0.2">
      <c r="I23" t="s">
        <v>371</v>
      </c>
    </row>
    <row r="24" spans="9:9" x14ac:dyDescent="0.2">
      <c r="I24" t="s">
        <v>456</v>
      </c>
    </row>
    <row r="25" spans="9:9" x14ac:dyDescent="0.2">
      <c r="I25" s="2" t="s">
        <v>372</v>
      </c>
    </row>
    <row r="26" spans="9:9" x14ac:dyDescent="0.2">
      <c r="I26" t="s">
        <v>457</v>
      </c>
    </row>
    <row r="27" spans="9:9" x14ac:dyDescent="0.2">
      <c r="I27" t="s">
        <v>458</v>
      </c>
    </row>
    <row r="28" spans="9:9" x14ac:dyDescent="0.2">
      <c r="I28" t="s">
        <v>459</v>
      </c>
    </row>
    <row r="29" spans="9:9" x14ac:dyDescent="0.2">
      <c r="I29" t="s">
        <v>460</v>
      </c>
    </row>
    <row r="30" spans="9:9" x14ac:dyDescent="0.2">
      <c r="I30" t="s">
        <v>461</v>
      </c>
    </row>
    <row r="31" spans="9:9" x14ac:dyDescent="0.2">
      <c r="I31" t="s">
        <v>462</v>
      </c>
    </row>
    <row r="32" spans="9:9" x14ac:dyDescent="0.2">
      <c r="I32" t="s">
        <v>140</v>
      </c>
    </row>
    <row r="33" spans="9:9" x14ac:dyDescent="0.2">
      <c r="I33" t="s">
        <v>463</v>
      </c>
    </row>
    <row r="34" spans="9:9" x14ac:dyDescent="0.2">
      <c r="I34" s="2" t="s">
        <v>26</v>
      </c>
    </row>
  </sheetData>
  <pageMargins left="0.7" right="0.7" top="0.75" bottom="0.75" header="0.3" footer="0.3"/>
  <pageSetup orientation="portrait" verticalDpi="0" r:id="rId1"/>
  <headerFooter>
    <oddFooter>&amp;L_x000D_&amp;1#&amp;"Calibri"&amp;10&amp;K000000 Fannie Mae Confidential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5F0B0-F8B6-4179-94A3-086253B86AEA}">
  <dimension ref="A1:Q41"/>
  <sheetViews>
    <sheetView zoomScaleNormal="100" workbookViewId="0"/>
  </sheetViews>
  <sheetFormatPr baseColWidth="10" defaultColWidth="8.83203125" defaultRowHeight="15" x14ac:dyDescent="0.2"/>
  <sheetData>
    <row r="1" spans="1:17" s="10" customFormat="1" x14ac:dyDescent="0.2">
      <c r="A1" s="10" t="s">
        <v>396</v>
      </c>
      <c r="F1" s="257">
        <f>'Input-ProForma'!F31</f>
        <v>-1358134</v>
      </c>
      <c r="G1" s="257">
        <f>F1+'Input-ProForma'!G31</f>
        <v>-1227294.3999999999</v>
      </c>
      <c r="H1" s="257">
        <f>G1+'Input-ProForma'!H31</f>
        <v>-1116422.0959999999</v>
      </c>
      <c r="I1" s="257">
        <f>H1+'Input-ProForma'!I31</f>
        <v>-1015869.6598399999</v>
      </c>
      <c r="J1" s="257">
        <f>I1+'Input-ProForma'!J31</f>
        <v>-911272.02463359991</v>
      </c>
      <c r="K1" s="257">
        <f>J1+'Input-ProForma'!K31</f>
        <v>-813079.15697094391</v>
      </c>
      <c r="L1" s="257">
        <f>K1+'Input-ProForma'!L31</f>
        <v>-721095.71534234169</v>
      </c>
      <c r="M1" s="257">
        <f>L1+'Input-ProForma'!M31</f>
        <v>-624477.69421137217</v>
      </c>
      <c r="N1" s="257">
        <f>M1+'Input-ProForma'!N31</f>
        <v>-523011.05314282392</v>
      </c>
      <c r="O1" s="257">
        <f>N1+'Input-ProForma'!O31</f>
        <v>-456472.33036642364</v>
      </c>
      <c r="P1" s="257">
        <f>O1+'Input-ProForma'!P31</f>
        <v>-344628.24013190396</v>
      </c>
      <c r="Q1" s="257">
        <f>P1+'Input-ProForma'!Q31</f>
        <v>-267235.25318452821</v>
      </c>
    </row>
    <row r="2" spans="1:17" s="10" customFormat="1" x14ac:dyDescent="0.2"/>
    <row r="3" spans="1:17" s="10" customFormat="1" x14ac:dyDescent="0.2">
      <c r="E3" s="257">
        <f>Q1+'Input-ProForma'!E43</f>
        <v>-144039.15966267782</v>
      </c>
      <c r="F3" s="257">
        <f>E3+'Input-ProForma'!F43</f>
        <v>-14774.613690476486</v>
      </c>
      <c r="G3" s="257">
        <f>F3+'Input-ProForma'!G43</f>
        <v>120835.34109137417</v>
      </c>
      <c r="H3" s="257">
        <f>G3+'Input-ProForma'!H43</f>
        <v>263079.76584438293</v>
      </c>
      <c r="I3" s="257">
        <f>H3+'Input-ProForma'!I43</f>
        <v>412260.34152079269</v>
      </c>
      <c r="J3" s="257">
        <f>I3+'Input-ProForma'!J43</f>
        <v>568691.90537553781</v>
      </c>
      <c r="K3" s="257">
        <f>J3+'Input-ProForma'!K43</f>
        <v>732703.00989029021</v>
      </c>
      <c r="L3" s="257">
        <f>K3+'Input-ProForma'!L43</f>
        <v>904636.5050346246</v>
      </c>
      <c r="M3" s="257">
        <f>L3+'Input-ProForma'!M43</f>
        <v>1084850.144827194</v>
      </c>
      <c r="N3" s="257">
        <f>M3+'Input-ProForma'!N43</f>
        <v>1273717.2191992018</v>
      </c>
      <c r="O3" s="257">
        <f>N3+'Input-ProForma'!O43</f>
        <v>1471627.2122034575</v>
      </c>
      <c r="P3" s="257">
        <f>O3+'Input-ProForma'!P43</f>
        <v>1678986.4876549719</v>
      </c>
      <c r="Q3" s="257">
        <f>P3+'Input-ProForma'!Q43</f>
        <v>1896219.0033334482</v>
      </c>
    </row>
    <row r="6" spans="1:17" x14ac:dyDescent="0.2">
      <c r="A6" t="s">
        <v>397</v>
      </c>
    </row>
    <row r="8" spans="1:17" x14ac:dyDescent="0.2">
      <c r="B8" t="str">
        <f>'QC Alerts'!E6</f>
        <v>QC Item</v>
      </c>
      <c r="C8" t="s">
        <v>398</v>
      </c>
    </row>
    <row r="9" spans="1:17" x14ac:dyDescent="0.2">
      <c r="B9" t="str">
        <f>'QC Alerts'!E7</f>
        <v>System Details: Solar PV System Details</v>
      </c>
      <c r="C9" t="b">
        <f>IF('QC Alerts'!F7&lt;&gt;"",IF('QC Alerts'!G7&lt;&gt;"",TRUE,FALSE),TRUE)</f>
        <v>1</v>
      </c>
    </row>
    <row r="10" spans="1:17" x14ac:dyDescent="0.2">
      <c r="B10" t="str">
        <f>'QC Alerts'!E8</f>
        <v>System Details: Battery Storage System Details</v>
      </c>
      <c r="C10" t="b">
        <f>IF('QC Alerts'!F8&lt;&gt;"",IF('QC Alerts'!G8&lt;&gt;"",TRUE,FALSE),TRUE)</f>
        <v>1</v>
      </c>
    </row>
    <row r="11" spans="1:17" x14ac:dyDescent="0.2">
      <c r="B11" t="str">
        <f>'QC Alerts'!E9</f>
        <v>System Components</v>
      </c>
      <c r="C11" t="b">
        <f>IF('QC Alerts'!F9&lt;&gt;"",IF('QC Alerts'!G9&lt;&gt;"",TRUE,FALSE),TRUE)</f>
        <v>1</v>
      </c>
    </row>
    <row r="12" spans="1:17" x14ac:dyDescent="0.2">
      <c r="B12" t="str">
        <f>'QC Alerts'!E10</f>
        <v>Permitting and Interconnection</v>
      </c>
      <c r="C12" t="b">
        <f>IF('QC Alerts'!F10&lt;&gt;"",IF('QC Alerts'!G10&lt;&gt;"",TRUE,FALSE),TRUE)</f>
        <v>1</v>
      </c>
    </row>
    <row r="13" spans="1:17" x14ac:dyDescent="0.2">
      <c r="B13" t="str">
        <f>'QC Alerts'!E11</f>
        <v>Roof-Mounted Systems</v>
      </c>
      <c r="C13" t="b">
        <f>IF('QC Alerts'!F11&lt;&gt;"",IF('QC Alerts'!G11&lt;&gt;"",TRUE,FALSE),TRUE)</f>
        <v>1</v>
      </c>
    </row>
    <row r="14" spans="1:17" x14ac:dyDescent="0.2">
      <c r="B14" t="str">
        <f>'QC Alerts'!E12</f>
        <v>Roof-Mounted Systems (Contractor Approval)</v>
      </c>
      <c r="C14" t="b">
        <f>IF('QC Alerts'!F12&lt;&gt;"",IF('QC Alerts'!G12&lt;&gt;"",TRUE,FALSE),TRUE)</f>
        <v>1</v>
      </c>
    </row>
    <row r="15" spans="1:17" x14ac:dyDescent="0.2">
      <c r="B15" t="str">
        <f>'QC Alerts'!E15</f>
        <v>Savings From Energy Generation</v>
      </c>
      <c r="C15" t="b">
        <f>IF('QC Alerts'!F15&lt;&gt;"",IF('QC Alerts'!G15&lt;&gt;"",TRUE,FALSE),TRUE)</f>
        <v>1</v>
      </c>
    </row>
    <row r="16" spans="1:17" x14ac:dyDescent="0.2">
      <c r="B16" t="str">
        <f>'QC Alerts'!E16</f>
        <v>Available Incentives</v>
      </c>
      <c r="C16" t="b">
        <f>IF('QC Alerts'!F16&lt;&gt;"",IF('QC Alerts'!G16&lt;&gt;"",TRUE,FALSE),TRUE)</f>
        <v>1</v>
      </c>
    </row>
    <row r="17" spans="1:3" x14ac:dyDescent="0.2">
      <c r="B17" t="str">
        <f>'QC Alerts'!E17</f>
        <v>Financing Conditions</v>
      </c>
      <c r="C17" t="b">
        <f>IF('QC Alerts'!F17&lt;&gt;"",IF('QC Alerts'!G17&lt;&gt;"",TRUE,FALSE),TRUE)</f>
        <v>1</v>
      </c>
    </row>
    <row r="18" spans="1:3" x14ac:dyDescent="0.2">
      <c r="B18" t="str">
        <f>'QC Alerts'!E13</f>
        <v>Upfront Expenses</v>
      </c>
      <c r="C18" t="b">
        <f>IF('QC Alerts'!F13&lt;&gt;"",IF('QC Alerts'!G13&lt;&gt;"",TRUE,FALSE),TRUE)</f>
        <v>1</v>
      </c>
    </row>
    <row r="19" spans="1:3" x14ac:dyDescent="0.2">
      <c r="B19" t="str">
        <f>'QC Alerts'!E14</f>
        <v>Operation and Maintenance</v>
      </c>
      <c r="C19" t="b">
        <f>IF('QC Alerts'!F14&lt;&gt;"",IF('QC Alerts'!G14&lt;&gt;"",TRUE,FALSE),TRUE)</f>
        <v>1</v>
      </c>
    </row>
    <row r="20" spans="1:3" x14ac:dyDescent="0.2">
      <c r="B20" t="str">
        <f>'QC Alerts'!E18</f>
        <v>Lifetime Cash Flow (Income)</v>
      </c>
      <c r="C20" t="b">
        <f>IF('QC Alerts'!F18&lt;&gt;"",IF('QC Alerts'!G18&lt;&gt;"",TRUE,FALSE),TRUE)</f>
        <v>1</v>
      </c>
    </row>
    <row r="21" spans="1:3" x14ac:dyDescent="0.2">
      <c r="B21" t="str">
        <f>'QC Alerts'!E19</f>
        <v>Lifetime Cash Flow (Expenses)</v>
      </c>
      <c r="C21" t="b">
        <f>IF('QC Alerts'!F19&lt;&gt;"",IF('QC Alerts'!G19&lt;&gt;"",TRUE,FALSE),TRUE)</f>
        <v>1</v>
      </c>
    </row>
    <row r="24" spans="1:3" x14ac:dyDescent="0.2">
      <c r="A24" t="s">
        <v>414</v>
      </c>
    </row>
    <row r="25" spans="1:3" x14ac:dyDescent="0.2">
      <c r="B25">
        <v>2019</v>
      </c>
      <c r="C25" s="355">
        <v>0.3</v>
      </c>
    </row>
    <row r="26" spans="1:3" x14ac:dyDescent="0.2">
      <c r="B26">
        <v>2020</v>
      </c>
      <c r="C26" s="355">
        <v>0.26</v>
      </c>
    </row>
    <row r="27" spans="1:3" x14ac:dyDescent="0.2">
      <c r="B27">
        <v>2021</v>
      </c>
      <c r="C27" s="355">
        <v>0.26</v>
      </c>
    </row>
    <row r="28" spans="1:3" x14ac:dyDescent="0.2">
      <c r="B28">
        <v>2022</v>
      </c>
      <c r="C28" s="355">
        <v>0.3</v>
      </c>
    </row>
    <row r="29" spans="1:3" x14ac:dyDescent="0.2">
      <c r="B29">
        <v>2023</v>
      </c>
      <c r="C29" s="355">
        <v>0.3</v>
      </c>
    </row>
    <row r="30" spans="1:3" x14ac:dyDescent="0.2">
      <c r="B30">
        <v>2024</v>
      </c>
      <c r="C30" s="379">
        <v>0.3</v>
      </c>
    </row>
    <row r="31" spans="1:3" x14ac:dyDescent="0.2">
      <c r="B31">
        <v>2025</v>
      </c>
      <c r="C31" s="379">
        <v>0.3</v>
      </c>
    </row>
    <row r="32" spans="1:3" x14ac:dyDescent="0.2">
      <c r="B32">
        <v>2026</v>
      </c>
      <c r="C32" s="379">
        <v>0.3</v>
      </c>
    </row>
    <row r="33" spans="2:3" x14ac:dyDescent="0.2">
      <c r="B33">
        <v>2027</v>
      </c>
      <c r="C33" s="379">
        <v>0.3</v>
      </c>
    </row>
    <row r="34" spans="2:3" x14ac:dyDescent="0.2">
      <c r="B34">
        <v>2028</v>
      </c>
      <c r="C34" s="379">
        <v>0.3</v>
      </c>
    </row>
    <row r="35" spans="2:3" x14ac:dyDescent="0.2">
      <c r="B35">
        <v>2029</v>
      </c>
      <c r="C35" s="379">
        <v>0.3</v>
      </c>
    </row>
    <row r="36" spans="2:3" x14ac:dyDescent="0.2">
      <c r="B36">
        <v>2030</v>
      </c>
      <c r="C36" s="379">
        <v>0.3</v>
      </c>
    </row>
    <row r="37" spans="2:3" x14ac:dyDescent="0.2">
      <c r="B37">
        <v>2031</v>
      </c>
      <c r="C37" s="379">
        <v>0.3</v>
      </c>
    </row>
    <row r="38" spans="2:3" x14ac:dyDescent="0.2">
      <c r="B38">
        <v>2032</v>
      </c>
      <c r="C38" s="379">
        <v>0.3</v>
      </c>
    </row>
    <row r="39" spans="2:3" x14ac:dyDescent="0.2">
      <c r="B39">
        <v>2033</v>
      </c>
      <c r="C39" s="379">
        <v>0.26</v>
      </c>
    </row>
    <row r="40" spans="2:3" x14ac:dyDescent="0.2">
      <c r="B40">
        <v>2034</v>
      </c>
      <c r="C40" s="379">
        <v>0.22</v>
      </c>
    </row>
    <row r="41" spans="2:3" x14ac:dyDescent="0.2">
      <c r="B41">
        <v>2035</v>
      </c>
      <c r="C41" s="379">
        <v>0</v>
      </c>
    </row>
  </sheetData>
  <pageMargins left="0.7" right="0.7" top="0.75" bottom="0.75" header="0.3" footer="0.3"/>
  <pageSetup orientation="portrait" horizontalDpi="0" verticalDpi="0"/>
  <headerFooter>
    <oddFooter>&amp;L_x000D_&amp;1#&amp;"Calibri"&amp;10&amp;K000000 Fannie Mae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autoPageBreaks="0"/>
  </sheetPr>
  <dimension ref="B1:R52"/>
  <sheetViews>
    <sheetView showGridLines="0" topLeftCell="A17" zoomScaleNormal="100" zoomScalePageLayoutView="106" workbookViewId="0">
      <selection activeCell="F20" sqref="F20"/>
    </sheetView>
  </sheetViews>
  <sheetFormatPr baseColWidth="10" defaultColWidth="8.83203125" defaultRowHeight="15" x14ac:dyDescent="0.2"/>
  <cols>
    <col min="1" max="1" width="2.5" style="10" customWidth="1"/>
    <col min="2" max="2" width="3.5" style="10" customWidth="1"/>
    <col min="3" max="4" width="8.83203125" style="10"/>
    <col min="5" max="5" width="16.83203125" style="10" customWidth="1"/>
    <col min="6" max="6" width="24.83203125" style="10" customWidth="1"/>
    <col min="7" max="7" width="21.5" style="10" customWidth="1"/>
    <col min="8" max="8" width="28.83203125" style="10" customWidth="1"/>
    <col min="9" max="9" width="15.83203125" style="10" customWidth="1"/>
    <col min="10" max="10" width="16.83203125" style="10" customWidth="1"/>
    <col min="11" max="11" width="16.5" style="10" customWidth="1"/>
    <col min="12" max="12" width="15.5" style="10" customWidth="1"/>
    <col min="13" max="16384" width="8.83203125" style="10"/>
  </cols>
  <sheetData>
    <row r="1" spans="2:18" ht="23.25" customHeight="1" x14ac:dyDescent="0.2">
      <c r="B1" s="8"/>
    </row>
    <row r="3" spans="2:18" ht="25" x14ac:dyDescent="0.3">
      <c r="B3" s="27" t="s">
        <v>63</v>
      </c>
    </row>
    <row r="4" spans="2:18" ht="27.75" customHeight="1" x14ac:dyDescent="0.2">
      <c r="B4" s="28" t="s">
        <v>62</v>
      </c>
    </row>
    <row r="5" spans="2:18" ht="16.5" customHeight="1" x14ac:dyDescent="0.2">
      <c r="B5" s="419" t="s">
        <v>316</v>
      </c>
      <c r="C5" s="419"/>
      <c r="D5" s="419"/>
      <c r="E5" s="419"/>
      <c r="F5" s="419"/>
      <c r="G5" s="419"/>
      <c r="H5" s="419"/>
      <c r="I5" s="419"/>
      <c r="J5" s="419"/>
      <c r="K5" s="419"/>
      <c r="L5" s="419"/>
      <c r="M5" s="419"/>
      <c r="N5" s="419"/>
      <c r="O5" s="419"/>
      <c r="P5" s="419"/>
      <c r="Q5" s="419"/>
      <c r="R5" s="419"/>
    </row>
    <row r="6" spans="2:18" ht="18.75" customHeight="1" x14ac:dyDescent="0.2">
      <c r="B6" s="419" t="s">
        <v>225</v>
      </c>
      <c r="C6" s="419"/>
      <c r="D6" s="419"/>
      <c r="E6" s="419"/>
      <c r="F6" s="419"/>
      <c r="G6" s="419"/>
      <c r="H6" s="419"/>
      <c r="I6" s="419"/>
      <c r="J6" s="419"/>
      <c r="K6" s="419"/>
      <c r="L6" s="419"/>
      <c r="M6" s="419"/>
      <c r="N6" s="419"/>
      <c r="O6" s="419"/>
      <c r="P6" s="419"/>
      <c r="Q6" s="419"/>
      <c r="R6" s="419"/>
    </row>
    <row r="7" spans="2:18" ht="18.75" customHeight="1" x14ac:dyDescent="0.2">
      <c r="B7" s="419" t="s">
        <v>226</v>
      </c>
      <c r="C7" s="419"/>
      <c r="D7" s="419"/>
      <c r="E7" s="419"/>
      <c r="F7" s="419"/>
      <c r="G7" s="419"/>
      <c r="H7" s="419"/>
      <c r="I7" s="419"/>
      <c r="J7" s="419"/>
      <c r="K7" s="419"/>
      <c r="L7" s="419"/>
      <c r="M7" s="419"/>
      <c r="N7" s="419"/>
      <c r="O7" s="419"/>
      <c r="P7" s="419"/>
      <c r="Q7" s="419"/>
      <c r="R7" s="419"/>
    </row>
    <row r="8" spans="2:18" ht="18" customHeight="1" x14ac:dyDescent="0.2">
      <c r="B8" s="419" t="s">
        <v>315</v>
      </c>
      <c r="C8" s="419"/>
      <c r="D8" s="419"/>
      <c r="E8" s="419"/>
      <c r="F8" s="419"/>
      <c r="G8" s="419"/>
      <c r="H8" s="419"/>
      <c r="I8" s="419"/>
      <c r="J8" s="419"/>
      <c r="K8" s="419"/>
      <c r="L8" s="419"/>
      <c r="M8" s="419"/>
      <c r="N8" s="419"/>
      <c r="O8" s="419"/>
      <c r="P8" s="419"/>
      <c r="Q8" s="419"/>
      <c r="R8" s="419"/>
    </row>
    <row r="10" spans="2:18" s="32" customFormat="1" ht="19" thickBot="1" x14ac:dyDescent="0.3">
      <c r="B10" s="29" t="s">
        <v>126</v>
      </c>
      <c r="C10" s="30"/>
      <c r="D10" s="30"/>
      <c r="E10" s="31"/>
      <c r="F10" s="31"/>
      <c r="G10" s="31"/>
      <c r="H10" s="31"/>
      <c r="I10" s="31"/>
      <c r="J10" s="31"/>
      <c r="K10" s="31"/>
      <c r="L10" s="31"/>
      <c r="M10" s="31"/>
      <c r="N10" s="31"/>
    </row>
    <row r="11" spans="2:18" s="33" customFormat="1" ht="15.75" customHeight="1" x14ac:dyDescent="0.2">
      <c r="C11" s="34"/>
      <c r="D11" s="35"/>
    </row>
    <row r="12" spans="2:18" s="33" customFormat="1" ht="19.5" customHeight="1" x14ac:dyDescent="0.2">
      <c r="D12" s="36" t="s">
        <v>122</v>
      </c>
      <c r="E12" s="409" t="s">
        <v>133</v>
      </c>
      <c r="F12" s="410"/>
      <c r="J12" s="37"/>
    </row>
    <row r="13" spans="2:18" s="32" customFormat="1" ht="9" customHeight="1" x14ac:dyDescent="0.15">
      <c r="C13" s="38"/>
      <c r="D13" s="39"/>
    </row>
    <row r="14" spans="2:18" s="32" customFormat="1" ht="20" customHeight="1" x14ac:dyDescent="0.15">
      <c r="C14" s="38"/>
      <c r="D14" s="40" t="s">
        <v>123</v>
      </c>
      <c r="E14" s="41">
        <v>1</v>
      </c>
      <c r="F14" s="42" t="str">
        <f>IFERROR(" → "&amp;VLOOKUP(E14,Dropdowns!K2:L4,2,FALSE),"")</f>
        <v xml:space="preserve"> → No further review</v>
      </c>
    </row>
    <row r="15" spans="2:18" s="32" customFormat="1" ht="9" customHeight="1" x14ac:dyDescent="0.15">
      <c r="C15" s="38"/>
      <c r="D15" s="39"/>
    </row>
    <row r="16" spans="2:18" s="32" customFormat="1" ht="20" customHeight="1" x14ac:dyDescent="0.15">
      <c r="C16" s="38"/>
      <c r="D16" s="40" t="s">
        <v>124</v>
      </c>
      <c r="E16" s="420" t="s">
        <v>501</v>
      </c>
      <c r="F16" s="410"/>
      <c r="G16" s="40" t="s">
        <v>125</v>
      </c>
      <c r="H16" s="43">
        <v>45296</v>
      </c>
    </row>
    <row r="17" spans="2:14" s="32" customFormat="1" ht="20" customHeight="1" x14ac:dyDescent="0.15">
      <c r="C17" s="38"/>
      <c r="D17" s="38"/>
    </row>
    <row r="18" spans="2:14" s="32" customFormat="1" ht="19" thickBot="1" x14ac:dyDescent="0.3">
      <c r="B18" s="29" t="s">
        <v>131</v>
      </c>
      <c r="C18" s="30"/>
      <c r="D18" s="30"/>
      <c r="E18" s="31"/>
      <c r="F18" s="31"/>
      <c r="G18" s="31"/>
      <c r="H18" s="31"/>
      <c r="I18" s="31"/>
      <c r="J18" s="31"/>
      <c r="K18" s="31"/>
      <c r="L18" s="31"/>
      <c r="M18" s="31"/>
      <c r="N18" s="31"/>
    </row>
    <row r="20" spans="2:14" ht="24" customHeight="1" x14ac:dyDescent="0.2">
      <c r="D20" s="44"/>
      <c r="E20" s="40" t="s">
        <v>167</v>
      </c>
      <c r="F20" s="274">
        <f>'Input-SystemDetails'!D29</f>
        <v>850.8</v>
      </c>
      <c r="G20" s="45" t="s">
        <v>40</v>
      </c>
    </row>
    <row r="21" spans="2:14" ht="12.75" customHeight="1" x14ac:dyDescent="0.2">
      <c r="F21" s="272"/>
    </row>
    <row r="22" spans="2:14" ht="24" customHeight="1" x14ac:dyDescent="0.2">
      <c r="B22" s="32"/>
      <c r="C22" s="38"/>
      <c r="E22" s="40" t="s">
        <v>128</v>
      </c>
      <c r="F22" s="273">
        <f>'Input-UpfrontExpenses'!F36</f>
        <v>2899077</v>
      </c>
    </row>
    <row r="23" spans="2:14" ht="12" customHeight="1" x14ac:dyDescent="0.2"/>
    <row r="24" spans="2:14" ht="24" customHeight="1" x14ac:dyDescent="0.2">
      <c r="E24" s="40" t="s">
        <v>219</v>
      </c>
      <c r="F24" s="46" t="str">
        <f>IF(COUNTIF('Input-RoofMountedSystems'!I13:I32,"Yes")&gt;0,"Yes","No")</f>
        <v>Yes</v>
      </c>
    </row>
    <row r="25" spans="2:14" ht="24" customHeight="1" x14ac:dyDescent="0.2"/>
    <row r="26" spans="2:14" s="32" customFormat="1" ht="19" thickBot="1" x14ac:dyDescent="0.3">
      <c r="B26" s="29" t="s">
        <v>127</v>
      </c>
      <c r="C26" s="47"/>
      <c r="D26" s="47"/>
      <c r="E26" s="31"/>
      <c r="F26" s="31"/>
      <c r="G26" s="31"/>
      <c r="H26" s="31"/>
      <c r="I26" s="31"/>
      <c r="J26" s="31"/>
      <c r="K26" s="31"/>
      <c r="L26" s="31"/>
      <c r="M26" s="31"/>
      <c r="N26" s="31"/>
    </row>
    <row r="28" spans="2:14" x14ac:dyDescent="0.2">
      <c r="B28" s="33"/>
      <c r="C28" s="48"/>
      <c r="D28" s="48"/>
      <c r="E28" s="49"/>
      <c r="F28" s="50" t="s">
        <v>220</v>
      </c>
      <c r="G28" s="51" t="s">
        <v>221</v>
      </c>
    </row>
    <row r="29" spans="2:14" ht="20" customHeight="1" x14ac:dyDescent="0.2">
      <c r="B29" s="33"/>
      <c r="C29" s="48"/>
      <c r="D29" s="48"/>
      <c r="E29" s="49" t="s">
        <v>224</v>
      </c>
      <c r="F29" s="52">
        <f>J44</f>
        <v>148190</v>
      </c>
      <c r="G29" s="53">
        <f>K44</f>
        <v>0</v>
      </c>
    </row>
    <row r="30" spans="2:14" ht="20" customHeight="1" x14ac:dyDescent="0.2">
      <c r="B30" s="33" t="s">
        <v>323</v>
      </c>
      <c r="C30" s="54"/>
      <c r="D30" s="54"/>
      <c r="E30" s="55" t="s">
        <v>222</v>
      </c>
      <c r="F30" s="56">
        <v>0.75</v>
      </c>
      <c r="G30" s="57">
        <v>0.25</v>
      </c>
    </row>
    <row r="31" spans="2:14" ht="20" customHeight="1" x14ac:dyDescent="0.2">
      <c r="B31" s="33"/>
      <c r="C31" s="48"/>
      <c r="D31" s="48"/>
      <c r="E31" s="58" t="s">
        <v>223</v>
      </c>
      <c r="F31" s="59">
        <f>F29*F30</f>
        <v>111142.5</v>
      </c>
      <c r="G31" s="254">
        <f>G29*G30</f>
        <v>0</v>
      </c>
    </row>
    <row r="32" spans="2:14" ht="15.75" customHeight="1" x14ac:dyDescent="0.2">
      <c r="B32" s="33"/>
      <c r="C32" s="48"/>
      <c r="D32" s="48"/>
      <c r="E32" s="48"/>
      <c r="F32" s="48"/>
      <c r="G32" s="48"/>
      <c r="H32" s="60"/>
    </row>
    <row r="33" spans="2:14" ht="25.5" customHeight="1" x14ac:dyDescent="0.2">
      <c r="B33" s="35"/>
      <c r="C33" s="417" t="s">
        <v>361</v>
      </c>
      <c r="D33" s="417"/>
      <c r="E33" s="418"/>
      <c r="F33" s="258">
        <f>AVERAGE('Input-ProForma'!F11:Q11,'Input-ProForma'!F35:Q35)</f>
        <v>247260.42435868655</v>
      </c>
      <c r="G33" s="35"/>
    </row>
    <row r="34" spans="2:14" ht="24" customHeight="1" x14ac:dyDescent="0.2">
      <c r="D34" s="61"/>
    </row>
    <row r="35" spans="2:14" s="32" customFormat="1" ht="19" thickBot="1" x14ac:dyDescent="0.3">
      <c r="B35" s="29" t="s">
        <v>227</v>
      </c>
      <c r="C35" s="30"/>
      <c r="D35" s="30"/>
      <c r="E35" s="31"/>
      <c r="F35" s="31"/>
      <c r="G35" s="31"/>
      <c r="H35" s="31"/>
      <c r="I35" s="31"/>
      <c r="J35" s="31"/>
      <c r="K35" s="31"/>
      <c r="L35" s="31"/>
      <c r="M35" s="31"/>
      <c r="N35" s="31"/>
    </row>
    <row r="36" spans="2:14" ht="23.5" customHeight="1" x14ac:dyDescent="0.2">
      <c r="B36" s="378" t="s">
        <v>465</v>
      </c>
      <c r="H36" s="9"/>
    </row>
    <row r="37" spans="2:14" ht="11.5" customHeight="1" x14ac:dyDescent="0.2"/>
    <row r="38" spans="2:14" x14ac:dyDescent="0.2">
      <c r="B38" s="8" t="s">
        <v>321</v>
      </c>
      <c r="C38" s="8"/>
      <c r="D38" s="8"/>
      <c r="E38" s="8"/>
      <c r="F38" s="8"/>
      <c r="G38" s="8"/>
      <c r="H38" s="8"/>
    </row>
    <row r="39" spans="2:14" x14ac:dyDescent="0.2">
      <c r="B39" s="62" t="s">
        <v>215</v>
      </c>
      <c r="C39" s="8"/>
      <c r="D39" s="8"/>
      <c r="E39" s="8"/>
      <c r="F39" s="8"/>
      <c r="G39" s="8"/>
      <c r="H39" s="8"/>
    </row>
    <row r="41" spans="2:14" ht="24" customHeight="1" thickBot="1" x14ac:dyDescent="0.25">
      <c r="C41" s="394" t="s">
        <v>154</v>
      </c>
      <c r="D41" s="395"/>
      <c r="E41" s="396"/>
      <c r="F41" s="403" t="s">
        <v>155</v>
      </c>
      <c r="G41" s="413" t="s">
        <v>189</v>
      </c>
      <c r="H41" s="414"/>
      <c r="I41" s="392" t="s">
        <v>160</v>
      </c>
      <c r="J41" s="63" t="s">
        <v>161</v>
      </c>
      <c r="K41" s="64" t="s">
        <v>187</v>
      </c>
      <c r="L41" s="390" t="s">
        <v>162</v>
      </c>
      <c r="M41" s="390" t="s">
        <v>165</v>
      </c>
    </row>
    <row r="42" spans="2:14" ht="17" thickTop="1" thickBot="1" x14ac:dyDescent="0.25">
      <c r="C42" s="397"/>
      <c r="D42" s="398"/>
      <c r="E42" s="399"/>
      <c r="F42" s="404"/>
      <c r="G42" s="415"/>
      <c r="H42" s="416"/>
      <c r="I42" s="393"/>
      <c r="J42" s="65" t="s">
        <v>163</v>
      </c>
      <c r="K42" s="66" t="s">
        <v>163</v>
      </c>
      <c r="L42" s="391"/>
      <c r="M42" s="391"/>
    </row>
    <row r="43" spans="2:14" ht="17" thickTop="1" thickBot="1" x14ac:dyDescent="0.25">
      <c r="C43" s="400"/>
      <c r="D43" s="401"/>
      <c r="E43" s="402"/>
      <c r="F43" s="405"/>
      <c r="G43" s="415"/>
      <c r="H43" s="416"/>
      <c r="I43" s="67" t="s">
        <v>164</v>
      </c>
      <c r="J43" s="68" t="s">
        <v>164</v>
      </c>
      <c r="K43" s="69" t="s">
        <v>164</v>
      </c>
      <c r="L43" s="70" t="s">
        <v>49</v>
      </c>
      <c r="M43" s="67" t="s">
        <v>166</v>
      </c>
    </row>
    <row r="44" spans="2:14" ht="36" customHeight="1" thickTop="1" x14ac:dyDescent="0.2">
      <c r="C44" s="406" t="s">
        <v>156</v>
      </c>
      <c r="D44" s="407"/>
      <c r="E44" s="408"/>
      <c r="F44" s="71" t="str">
        <f>'Input-SystemDetails'!D23</f>
        <v>Install photovoltaic system</v>
      </c>
      <c r="G44" s="411" t="str">
        <f>'Input-SystemDetails'!D25</f>
        <v xml:space="preserve">Install grid-tied 850.8 kW Solar PV System composed of 520.8 kW roof-mounted (non-ballasted) and 330 kW canopy-mounted arrays. Selective tree trimming and roof replacement must be included as per the Technical Solar Report. </v>
      </c>
      <c r="H44" s="412"/>
      <c r="I44" s="72">
        <f>'Input-UpfrontExpenses'!F36-I52</f>
        <v>2619077</v>
      </c>
      <c r="J44" s="73">
        <f>'Input-Income'!D27</f>
        <v>148190</v>
      </c>
      <c r="K44" s="74">
        <f>'Input-Income'!D28</f>
        <v>0</v>
      </c>
      <c r="L44" s="75">
        <f>SUM('Input-Income'!D18:D19)</f>
        <v>1493330</v>
      </c>
      <c r="M44" s="76">
        <v>25</v>
      </c>
    </row>
    <row r="45" spans="2:14" x14ac:dyDescent="0.2">
      <c r="B45" s="32"/>
    </row>
    <row r="46" spans="2:14" ht="17.25" customHeight="1" x14ac:dyDescent="0.2">
      <c r="B46" s="8" t="s">
        <v>322</v>
      </c>
    </row>
    <row r="47" spans="2:14" ht="17.25" customHeight="1" x14ac:dyDescent="0.2">
      <c r="B47" s="62" t="s">
        <v>214</v>
      </c>
    </row>
    <row r="48" spans="2:14" ht="12" customHeight="1" x14ac:dyDescent="0.2"/>
    <row r="49" spans="2:13" ht="23.25" customHeight="1" thickBot="1" x14ac:dyDescent="0.25">
      <c r="B49" s="32"/>
      <c r="C49" s="394" t="s">
        <v>154</v>
      </c>
      <c r="D49" s="395"/>
      <c r="E49" s="396"/>
      <c r="F49" s="403" t="s">
        <v>155</v>
      </c>
      <c r="G49" s="413" t="s">
        <v>189</v>
      </c>
      <c r="H49" s="414"/>
      <c r="I49" s="392" t="s">
        <v>160</v>
      </c>
      <c r="J49" s="63" t="s">
        <v>161</v>
      </c>
      <c r="K49" s="64" t="s">
        <v>187</v>
      </c>
      <c r="L49" s="390" t="s">
        <v>162</v>
      </c>
      <c r="M49" s="390" t="s">
        <v>165</v>
      </c>
    </row>
    <row r="50" spans="2:13" ht="17.25" customHeight="1" thickTop="1" thickBot="1" x14ac:dyDescent="0.25">
      <c r="B50" s="32"/>
      <c r="C50" s="397"/>
      <c r="D50" s="398"/>
      <c r="E50" s="399"/>
      <c r="F50" s="404"/>
      <c r="G50" s="415"/>
      <c r="H50" s="416"/>
      <c r="I50" s="393"/>
      <c r="J50" s="65" t="s">
        <v>163</v>
      </c>
      <c r="K50" s="66" t="s">
        <v>163</v>
      </c>
      <c r="L50" s="391"/>
      <c r="M50" s="391"/>
    </row>
    <row r="51" spans="2:13" ht="17.25" customHeight="1" thickTop="1" thickBot="1" x14ac:dyDescent="0.25">
      <c r="B51" s="32"/>
      <c r="C51" s="400"/>
      <c r="D51" s="401"/>
      <c r="E51" s="402"/>
      <c r="F51" s="405"/>
      <c r="G51" s="415"/>
      <c r="H51" s="416"/>
      <c r="I51" s="67" t="s">
        <v>164</v>
      </c>
      <c r="J51" s="68" t="s">
        <v>164</v>
      </c>
      <c r="K51" s="69" t="s">
        <v>164</v>
      </c>
      <c r="L51" s="70" t="s">
        <v>49</v>
      </c>
      <c r="M51" s="67" t="s">
        <v>166</v>
      </c>
    </row>
    <row r="52" spans="2:13" ht="36" customHeight="1" thickTop="1" x14ac:dyDescent="0.2">
      <c r="C52" s="406" t="str">
        <f>IF(F24="Yes","Building envelope","")</f>
        <v>Building envelope</v>
      </c>
      <c r="D52" s="407"/>
      <c r="E52" s="408"/>
      <c r="F52" s="77" t="str">
        <f>IF(F24="Yes","Repair or replace roof for solar PV installation","")</f>
        <v>Repair or replace roof for solar PV installation</v>
      </c>
      <c r="G52" s="411" t="str">
        <f>'Input-RoofMountedSystems'!D8</f>
        <v>Install foam roof overlap on top of existing roof for Buildings A,B,E,F,G,H,I and leasing office.</v>
      </c>
      <c r="H52" s="412"/>
      <c r="I52" s="72">
        <f>'Input-UpfrontExpenses'!F16</f>
        <v>280000</v>
      </c>
      <c r="J52" s="73">
        <v>0</v>
      </c>
      <c r="K52" s="74">
        <v>0</v>
      </c>
      <c r="L52" s="75">
        <v>0</v>
      </c>
      <c r="M52" s="76">
        <f>IF(F24="yes",20,"")</f>
        <v>20</v>
      </c>
    </row>
  </sheetData>
  <sheetProtection algorithmName="SHA-512" hashValue="UYxiZULWnGBpK76TgEYwP+1xbPH5GnCuBGAvMTlJUZG0F7C/+VRgW7BrNjmXPmqL+eRXCPopaubAUNy8/b55YQ==" saltValue="GuHagvlGOz+ZZMJwbl19bw==" spinCount="100000" sheet="1" objects="1" scenarios="1"/>
  <mergeCells count="23">
    <mergeCell ref="B5:R5"/>
    <mergeCell ref="E16:F16"/>
    <mergeCell ref="B6:R6"/>
    <mergeCell ref="B7:R7"/>
    <mergeCell ref="B8:R8"/>
    <mergeCell ref="C49:E51"/>
    <mergeCell ref="F49:F51"/>
    <mergeCell ref="C52:E52"/>
    <mergeCell ref="E12:F12"/>
    <mergeCell ref="G44:H44"/>
    <mergeCell ref="G52:H52"/>
    <mergeCell ref="G49:H51"/>
    <mergeCell ref="G41:H43"/>
    <mergeCell ref="C44:E44"/>
    <mergeCell ref="C41:E43"/>
    <mergeCell ref="F41:F43"/>
    <mergeCell ref="C33:E33"/>
    <mergeCell ref="L49:L50"/>
    <mergeCell ref="M49:M50"/>
    <mergeCell ref="L41:L42"/>
    <mergeCell ref="M41:M42"/>
    <mergeCell ref="I49:I50"/>
    <mergeCell ref="I41:I42"/>
  </mergeCells>
  <conditionalFormatting sqref="E12">
    <cfRule type="expression" dxfId="67" priority="10">
      <formula>E12=""</formula>
    </cfRule>
  </conditionalFormatting>
  <conditionalFormatting sqref="E14 E16 H16">
    <cfRule type="expression" dxfId="66" priority="11">
      <formula>E14=""</formula>
    </cfRule>
  </conditionalFormatting>
  <dataValidations count="1">
    <dataValidation type="date" allowBlank="1" showInputMessage="1" showErrorMessage="1" sqref="H16" xr:uid="{00000000-0002-0000-0100-000000000000}">
      <formula1>42736</formula1>
      <formula2>46388</formula2>
    </dataValidation>
  </dataValidations>
  <pageMargins left="0.7" right="0.7" top="0.75" bottom="0.75" header="0.3" footer="0.3"/>
  <pageSetup paperSize="5" scale="84" orientation="portrait" r:id="rId1"/>
  <headerFooter>
    <oddFooter>&amp;L&amp;"Source Sans Pro,Regular"&amp;9 © 2023 Fannie Mae.Trademarks of Fannie Mae. _x000D_&amp;1#&amp;"Calibri"&amp;10&amp;K000000 Fannie Mae Confidential&amp;C&amp;"Source Sans Pro,Regular"&amp;9&amp;A&amp;R&amp;"Source Sans Pro,Regular"&amp;9 Form 4099.I -  October 2023 Solar Rewards Intake Form</oddFooter>
  </headerFooter>
  <rowBreaks count="1" manualBreakCount="1">
    <brk id="33"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Dropdowns!$K$2:$K$4</xm:f>
          </x14:formula1>
          <xm:sqref>E14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autoPageBreaks="0"/>
  </sheetPr>
  <dimension ref="A1:G28"/>
  <sheetViews>
    <sheetView showGridLines="0" zoomScaleNormal="100" zoomScalePageLayoutView="70" workbookViewId="0">
      <selection activeCell="G19" sqref="G19"/>
    </sheetView>
  </sheetViews>
  <sheetFormatPr baseColWidth="10" defaultColWidth="8.83203125" defaultRowHeight="15" x14ac:dyDescent="0.2"/>
  <cols>
    <col min="1" max="1" width="2.5" style="32" customWidth="1"/>
    <col min="2" max="2" width="1.5" style="32" customWidth="1"/>
    <col min="3" max="3" width="7.1640625" style="38" customWidth="1"/>
    <col min="4" max="4" width="13.5" style="32" customWidth="1"/>
    <col min="5" max="5" width="38.5" style="32" customWidth="1"/>
    <col min="6" max="6" width="72.5" style="32" customWidth="1"/>
    <col min="7" max="7" width="71.5" style="32" customWidth="1"/>
    <col min="8" max="16384" width="8.83203125" style="10"/>
  </cols>
  <sheetData>
    <row r="1" spans="1:7" ht="23.25" customHeight="1" x14ac:dyDescent="0.2">
      <c r="A1" s="10"/>
      <c r="B1" s="8" t="s">
        <v>317</v>
      </c>
      <c r="C1" s="9"/>
      <c r="D1" s="9"/>
      <c r="E1" s="9"/>
      <c r="F1" s="9"/>
      <c r="G1" s="9"/>
    </row>
    <row r="2" spans="1:7" x14ac:dyDescent="0.2">
      <c r="A2" s="10"/>
      <c r="B2" s="10"/>
      <c r="C2" s="9"/>
      <c r="D2" s="9"/>
      <c r="E2" s="9"/>
      <c r="F2" s="9"/>
      <c r="G2" s="9"/>
    </row>
    <row r="3" spans="1:7" ht="25" x14ac:dyDescent="0.3">
      <c r="A3" s="10"/>
      <c r="B3" s="27" t="s">
        <v>180</v>
      </c>
      <c r="C3" s="10"/>
      <c r="D3" s="10"/>
      <c r="E3" s="10"/>
      <c r="F3" s="9"/>
      <c r="G3" s="10"/>
    </row>
    <row r="4" spans="1:7" x14ac:dyDescent="0.2">
      <c r="A4" s="10"/>
      <c r="B4" s="28" t="s">
        <v>433</v>
      </c>
      <c r="C4" s="10"/>
      <c r="D4" s="10"/>
      <c r="E4" s="10"/>
      <c r="F4" s="9"/>
      <c r="G4" s="10"/>
    </row>
    <row r="5" spans="1:7" x14ac:dyDescent="0.2">
      <c r="C5" s="80"/>
    </row>
    <row r="6" spans="1:7" x14ac:dyDescent="0.2">
      <c r="C6" s="425" t="s">
        <v>168</v>
      </c>
      <c r="D6" s="426"/>
      <c r="E6" s="81" t="s">
        <v>169</v>
      </c>
      <c r="F6" s="82" t="s">
        <v>170</v>
      </c>
      <c r="G6" s="83" t="s">
        <v>171</v>
      </c>
    </row>
    <row r="7" spans="1:7" ht="48.75" customHeight="1" x14ac:dyDescent="0.2">
      <c r="C7" s="421" t="s">
        <v>174</v>
      </c>
      <c r="D7" s="422"/>
      <c r="E7" s="84" t="s">
        <v>194</v>
      </c>
      <c r="F7" s="245" t="str">
        <f>'Input-SystemDetails'!J30&amp;'Input-SystemDetails'!J31</f>
        <v/>
      </c>
      <c r="G7" s="85"/>
    </row>
    <row r="8" spans="1:7" ht="34.5" customHeight="1" x14ac:dyDescent="0.2">
      <c r="C8" s="421" t="s">
        <v>174</v>
      </c>
      <c r="D8" s="422"/>
      <c r="E8" s="84" t="s">
        <v>195</v>
      </c>
      <c r="F8" s="245" t="str">
        <f>'Input-SystemDetails'!J43</f>
        <v/>
      </c>
      <c r="G8" s="85"/>
    </row>
    <row r="9" spans="1:7" ht="44.25" customHeight="1" x14ac:dyDescent="0.2">
      <c r="C9" s="421" t="s">
        <v>174</v>
      </c>
      <c r="D9" s="422"/>
      <c r="E9" s="84" t="s">
        <v>232</v>
      </c>
      <c r="F9" s="245" t="str">
        <f>'Input-SystemDetails'!J52&amp;'Input-SystemDetails'!J53&amp;'Input-SystemDetails'!J54&amp;'Input-SystemDetails'!J55</f>
        <v/>
      </c>
      <c r="G9" s="85"/>
    </row>
    <row r="10" spans="1:7" ht="39" customHeight="1" x14ac:dyDescent="0.2">
      <c r="C10" s="421" t="s">
        <v>174</v>
      </c>
      <c r="D10" s="422"/>
      <c r="E10" s="86" t="s">
        <v>394</v>
      </c>
      <c r="F10" s="245" t="str">
        <f>'Input-SystemDetails'!J61</f>
        <v/>
      </c>
      <c r="G10" s="85"/>
    </row>
    <row r="11" spans="1:7" ht="60.75" customHeight="1" x14ac:dyDescent="0.2">
      <c r="C11" s="421" t="s">
        <v>228</v>
      </c>
      <c r="D11" s="422"/>
      <c r="E11" s="86" t="s">
        <v>228</v>
      </c>
      <c r="F11" s="245" t="str">
        <f>'Input-RoofMountedSystems'!L13</f>
        <v/>
      </c>
      <c r="G11" s="85"/>
    </row>
    <row r="12" spans="1:7" ht="32.25" customHeight="1" x14ac:dyDescent="0.2">
      <c r="C12" s="423" t="s">
        <v>228</v>
      </c>
      <c r="D12" s="424"/>
      <c r="E12" s="86" t="s">
        <v>229</v>
      </c>
      <c r="F12" s="246" t="str">
        <f>'Input-RoofMountedSystems'!L10</f>
        <v/>
      </c>
      <c r="G12" s="87"/>
    </row>
    <row r="13" spans="1:7" ht="46.25" customHeight="1" x14ac:dyDescent="0.2">
      <c r="C13" s="423" t="s">
        <v>344</v>
      </c>
      <c r="D13" s="424"/>
      <c r="E13" s="86" t="s">
        <v>344</v>
      </c>
      <c r="F13" s="246" t="str">
        <f>'Input-UpfrontExpenses'!O8</f>
        <v/>
      </c>
      <c r="G13" s="87"/>
    </row>
    <row r="14" spans="1:7" ht="30.75" customHeight="1" x14ac:dyDescent="0.2">
      <c r="C14" s="423" t="s">
        <v>344</v>
      </c>
      <c r="D14" s="424"/>
      <c r="E14" s="86" t="s">
        <v>176</v>
      </c>
      <c r="F14" s="246" t="str">
        <f>'Input-UpfrontExpenses'!O31</f>
        <v/>
      </c>
      <c r="G14" s="87"/>
    </row>
    <row r="15" spans="1:7" ht="44.25" customHeight="1" x14ac:dyDescent="0.2">
      <c r="C15" s="423" t="s">
        <v>319</v>
      </c>
      <c r="D15" s="424"/>
      <c r="E15" s="86" t="s">
        <v>230</v>
      </c>
      <c r="F15" s="246" t="str">
        <f>'Input-Income'!J8&amp;'Input-Income'!J18&amp;'Input-Income'!J21&amp;'Input-Income'!J24</f>
        <v/>
      </c>
      <c r="G15" s="87"/>
    </row>
    <row r="16" spans="1:7" ht="51.75" customHeight="1" x14ac:dyDescent="0.2">
      <c r="C16" s="423" t="s">
        <v>319</v>
      </c>
      <c r="D16" s="424"/>
      <c r="E16" s="86" t="s">
        <v>395</v>
      </c>
      <c r="F16" s="246" t="str">
        <f>'Input-Income'!J33</f>
        <v/>
      </c>
      <c r="G16" s="87"/>
    </row>
    <row r="17" spans="2:7" ht="52.5" customHeight="1" x14ac:dyDescent="0.2">
      <c r="C17" s="423" t="s">
        <v>319</v>
      </c>
      <c r="D17" s="424"/>
      <c r="E17" s="86" t="s">
        <v>177</v>
      </c>
      <c r="F17" s="246" t="str">
        <f>'Input-Income'!J53</f>
        <v/>
      </c>
      <c r="G17" s="87"/>
    </row>
    <row r="18" spans="2:7" ht="27" customHeight="1" x14ac:dyDescent="0.2">
      <c r="C18" s="423" t="s">
        <v>178</v>
      </c>
      <c r="D18" s="424"/>
      <c r="E18" s="86" t="s">
        <v>179</v>
      </c>
      <c r="F18" s="246" t="str">
        <f>'Input-ProForma'!S10</f>
        <v/>
      </c>
      <c r="G18" s="87"/>
    </row>
    <row r="19" spans="2:7" ht="27" customHeight="1" x14ac:dyDescent="0.2">
      <c r="C19" s="427" t="s">
        <v>178</v>
      </c>
      <c r="D19" s="428"/>
      <c r="E19" s="88" t="s">
        <v>432</v>
      </c>
      <c r="F19" s="247" t="str">
        <f>'Input-ProForma'!S23</f>
        <v xml:space="preserve">Annual cost increase not factored into one or more lifetime costs. </v>
      </c>
      <c r="G19" s="89" t="s">
        <v>502</v>
      </c>
    </row>
    <row r="20" spans="2:7" x14ac:dyDescent="0.2">
      <c r="C20" s="90"/>
      <c r="D20" s="90"/>
      <c r="E20" s="90"/>
      <c r="F20" s="91"/>
      <c r="G20" s="35"/>
    </row>
    <row r="21" spans="2:7" ht="18" x14ac:dyDescent="0.25">
      <c r="C21" s="78"/>
      <c r="D21" s="92"/>
      <c r="E21" s="93"/>
      <c r="F21" s="94"/>
      <c r="G21" s="94"/>
    </row>
    <row r="22" spans="2:7" x14ac:dyDescent="0.2">
      <c r="C22" s="80"/>
    </row>
    <row r="24" spans="2:7" x14ac:dyDescent="0.2">
      <c r="B24" s="32" t="s">
        <v>323</v>
      </c>
    </row>
    <row r="25" spans="2:7" x14ac:dyDescent="0.2">
      <c r="C25" s="32"/>
    </row>
    <row r="27" spans="2:7" x14ac:dyDescent="0.2">
      <c r="E27" s="79"/>
    </row>
    <row r="28" spans="2:7" x14ac:dyDescent="0.2">
      <c r="E28" s="79"/>
    </row>
  </sheetData>
  <sheetProtection algorithmName="SHA-512" hashValue="PwX81MxMfftmIrg4Uf28s2fbEIGiXZ+VLJv7ns+/u8mxUivFwH7i8nfJ1QMRwSzpazzbV/o9T/4HPnovs/bFJQ==" saltValue="3oQ9vtJDWsV3LlzncGfl0w==" spinCount="100000" sheet="1" objects="1" scenarios="1"/>
  <mergeCells count="14">
    <mergeCell ref="C17:D17"/>
    <mergeCell ref="C16:D16"/>
    <mergeCell ref="C19:D19"/>
    <mergeCell ref="C13:D13"/>
    <mergeCell ref="C18:D18"/>
    <mergeCell ref="C10:D10"/>
    <mergeCell ref="C8:D8"/>
    <mergeCell ref="C15:D15"/>
    <mergeCell ref="C6:D6"/>
    <mergeCell ref="C7:D7"/>
    <mergeCell ref="C9:D9"/>
    <mergeCell ref="C11:D11"/>
    <mergeCell ref="C12:D12"/>
    <mergeCell ref="C14:D14"/>
  </mergeCells>
  <conditionalFormatting sqref="G7:G19">
    <cfRule type="expression" dxfId="65" priority="1">
      <formula>AND($F7&lt;&gt;"", $G7="")</formula>
    </cfRule>
  </conditionalFormatting>
  <pageMargins left="0.7" right="0.7" top="0.75" bottom="0.75" header="0.3" footer="0.3"/>
  <pageSetup paperSize="5" scale="84" orientation="portrait" r:id="rId1"/>
  <headerFooter>
    <oddFooter>&amp;L&amp;"Source Sans Pro,Regular"&amp;9 © 2023 Fannie Mae.Trademarks of Fannie Mae. _x000D_&amp;1#&amp;"Calibri"&amp;10&amp;K000000 Fannie Mae Confidential&amp;C&amp;"Source Sans Pro,Regular"&amp;9&amp;A&amp;R&amp;"Source Sans Pro,Regular"&amp;9 Form 4099.I -  October 2023 Solar Rewards Intake Form</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autoPageBreaks="0"/>
  </sheetPr>
  <dimension ref="A1:M79"/>
  <sheetViews>
    <sheetView showGridLines="0" zoomScaleNormal="100" zoomScalePageLayoutView="70" workbookViewId="0">
      <selection activeCell="D29" sqref="D29"/>
    </sheetView>
  </sheetViews>
  <sheetFormatPr baseColWidth="10" defaultColWidth="9.1640625" defaultRowHeight="15" x14ac:dyDescent="0.2"/>
  <cols>
    <col min="1" max="2" width="2.5" style="10" customWidth="1"/>
    <col min="3" max="3" width="36.5" style="10" customWidth="1"/>
    <col min="4" max="4" width="19.5" style="10" customWidth="1"/>
    <col min="5" max="5" width="19.1640625" style="10" customWidth="1"/>
    <col min="6" max="7" width="18.5" style="10" customWidth="1"/>
    <col min="8" max="8" width="20.5" style="10" customWidth="1"/>
    <col min="9" max="9" width="4.5" style="10" customWidth="1"/>
    <col min="10" max="10" width="46.5" style="10" customWidth="1"/>
    <col min="11" max="11" width="16.1640625" style="10" customWidth="1"/>
    <col min="12" max="12" width="10.5" style="10" customWidth="1"/>
    <col min="13" max="13" width="21.5" style="10" customWidth="1"/>
    <col min="14" max="14" width="11.83203125" style="10" customWidth="1"/>
    <col min="15" max="15" width="11.1640625" style="10" customWidth="1"/>
    <col min="16" max="16384" width="9.1640625" style="10"/>
  </cols>
  <sheetData>
    <row r="1" spans="2:13" ht="23.25" customHeight="1" x14ac:dyDescent="0.2">
      <c r="B1" s="8"/>
      <c r="C1" s="9"/>
      <c r="D1" s="9"/>
      <c r="E1" s="9"/>
      <c r="F1" s="9"/>
      <c r="G1" s="9"/>
      <c r="H1" s="9"/>
      <c r="I1" s="9"/>
      <c r="J1" s="9"/>
      <c r="M1" s="9"/>
    </row>
    <row r="2" spans="2:13" ht="15" customHeight="1" x14ac:dyDescent="0.2">
      <c r="C2" s="9"/>
      <c r="D2" s="9"/>
      <c r="E2" s="9"/>
      <c r="F2" s="9"/>
      <c r="G2" s="9"/>
      <c r="H2" s="9"/>
      <c r="I2" s="9"/>
      <c r="J2" s="9"/>
    </row>
    <row r="3" spans="2:13" ht="25" x14ac:dyDescent="0.3">
      <c r="B3" s="27" t="s">
        <v>15</v>
      </c>
      <c r="H3" s="9"/>
    </row>
    <row r="4" spans="2:13" ht="16.5" customHeight="1" x14ac:dyDescent="0.2">
      <c r="B4" s="28" t="s">
        <v>331</v>
      </c>
      <c r="H4" s="9"/>
    </row>
    <row r="5" spans="2:13" ht="15.75" customHeight="1" x14ac:dyDescent="0.2">
      <c r="C5" s="95"/>
      <c r="D5" s="95"/>
      <c r="E5" s="95"/>
      <c r="H5" s="9"/>
    </row>
    <row r="6" spans="2:13" ht="22.5" customHeight="1" thickBot="1" x14ac:dyDescent="0.3">
      <c r="B6" s="96" t="s">
        <v>8</v>
      </c>
      <c r="C6" s="12"/>
      <c r="D6" s="12"/>
      <c r="E6" s="12"/>
      <c r="F6" s="12"/>
      <c r="G6" s="12"/>
      <c r="H6" s="12"/>
    </row>
    <row r="7" spans="2:13" ht="22.5" customHeight="1" x14ac:dyDescent="0.3">
      <c r="C7" s="97"/>
    </row>
    <row r="8" spans="2:13" s="33" customFormat="1" ht="20" customHeight="1" x14ac:dyDescent="0.2">
      <c r="C8" s="335" t="s">
        <v>9</v>
      </c>
      <c r="D8" s="436" t="s">
        <v>503</v>
      </c>
      <c r="E8" s="436"/>
    </row>
    <row r="9" spans="2:13" s="33" customFormat="1" ht="9.75" customHeight="1" x14ac:dyDescent="0.2">
      <c r="C9" s="331"/>
    </row>
    <row r="10" spans="2:13" s="33" customFormat="1" ht="20" customHeight="1" x14ac:dyDescent="0.2">
      <c r="C10" s="335" t="s">
        <v>237</v>
      </c>
      <c r="D10" s="436" t="s">
        <v>477</v>
      </c>
      <c r="E10" s="436"/>
    </row>
    <row r="11" spans="2:13" s="33" customFormat="1" ht="18.75" customHeight="1" x14ac:dyDescent="0.2">
      <c r="C11" s="331"/>
      <c r="D11" s="98"/>
    </row>
    <row r="12" spans="2:13" s="33" customFormat="1" ht="19.5" customHeight="1" x14ac:dyDescent="0.2">
      <c r="C12" s="336" t="s">
        <v>190</v>
      </c>
      <c r="D12" s="99">
        <v>45231</v>
      </c>
    </row>
    <row r="13" spans="2:13" s="33" customFormat="1" ht="9.75" customHeight="1" x14ac:dyDescent="0.2">
      <c r="C13" s="331"/>
    </row>
    <row r="14" spans="2:13" s="33" customFormat="1" ht="19.5" customHeight="1" x14ac:dyDescent="0.2">
      <c r="C14" s="336" t="s">
        <v>10</v>
      </c>
      <c r="D14" s="100">
        <v>45245</v>
      </c>
    </row>
    <row r="15" spans="2:13" s="33" customFormat="1" ht="19.5" customHeight="1" x14ac:dyDescent="0.2">
      <c r="C15" s="337" t="s">
        <v>11</v>
      </c>
      <c r="D15" s="101"/>
    </row>
    <row r="16" spans="2:13" s="33" customFormat="1" ht="19.5" customHeight="1" x14ac:dyDescent="0.2">
      <c r="C16" s="337" t="s">
        <v>12</v>
      </c>
      <c r="D16" s="101"/>
    </row>
    <row r="17" spans="2:10" ht="19.5" customHeight="1" x14ac:dyDescent="0.2">
      <c r="C17" s="337" t="s">
        <v>13</v>
      </c>
      <c r="D17" s="101"/>
    </row>
    <row r="18" spans="2:10" s="33" customFormat="1" ht="19.5" customHeight="1" x14ac:dyDescent="0.2">
      <c r="C18" s="337" t="s">
        <v>14</v>
      </c>
      <c r="D18" s="102"/>
    </row>
    <row r="20" spans="2:10" ht="24" customHeight="1" thickBot="1" x14ac:dyDescent="0.3">
      <c r="B20" s="96" t="s">
        <v>33</v>
      </c>
      <c r="C20" s="12"/>
      <c r="D20" s="12"/>
      <c r="E20" s="12"/>
      <c r="F20" s="12"/>
      <c r="G20" s="12"/>
      <c r="H20" s="12"/>
    </row>
    <row r="21" spans="2:10" ht="23.5" customHeight="1" x14ac:dyDescent="0.2">
      <c r="B21" s="378" t="s">
        <v>466</v>
      </c>
      <c r="H21" s="9"/>
    </row>
    <row r="22" spans="2:10" s="33" customFormat="1" ht="12.5" customHeight="1" x14ac:dyDescent="0.2"/>
    <row r="23" spans="2:10" ht="21.75" customHeight="1" x14ac:dyDescent="0.25">
      <c r="B23" s="103"/>
      <c r="C23" s="332" t="s">
        <v>212</v>
      </c>
      <c r="D23" s="433" t="s">
        <v>157</v>
      </c>
      <c r="E23" s="433"/>
    </row>
    <row r="24" spans="2:10" ht="7.5" customHeight="1" x14ac:dyDescent="0.25">
      <c r="B24" s="103"/>
      <c r="C24" s="332"/>
      <c r="D24" s="58"/>
      <c r="E24" s="58"/>
      <c r="F24" s="58"/>
    </row>
    <row r="25" spans="2:10" ht="34.5" customHeight="1" x14ac:dyDescent="0.25">
      <c r="B25" s="103"/>
      <c r="C25" s="332" t="s">
        <v>213</v>
      </c>
      <c r="D25" s="433" t="s">
        <v>504</v>
      </c>
      <c r="E25" s="433"/>
      <c r="F25" s="433"/>
    </row>
    <row r="26" spans="2:10" s="33" customFormat="1" ht="19.25" customHeight="1" x14ac:dyDescent="0.2">
      <c r="C26" s="117"/>
      <c r="D26" s="438" t="s">
        <v>464</v>
      </c>
      <c r="E26" s="438"/>
      <c r="F26" s="438"/>
      <c r="G26" s="438"/>
      <c r="H26" s="438"/>
      <c r="J26" s="10"/>
    </row>
    <row r="27" spans="2:10" s="33" customFormat="1" ht="24" customHeight="1" x14ac:dyDescent="0.2">
      <c r="B27" s="437" t="s">
        <v>193</v>
      </c>
      <c r="C27" s="437"/>
      <c r="D27" s="437"/>
      <c r="E27" s="437"/>
      <c r="F27" s="437"/>
      <c r="G27" s="437"/>
      <c r="H27" s="437"/>
    </row>
    <row r="28" spans="2:10" s="33" customFormat="1" ht="9" customHeight="1" x14ac:dyDescent="0.2"/>
    <row r="29" spans="2:10" s="33" customFormat="1" ht="20" customHeight="1" thickBot="1" x14ac:dyDescent="0.25">
      <c r="C29" s="332" t="s">
        <v>43</v>
      </c>
      <c r="D29" s="248">
        <v>850.8</v>
      </c>
      <c r="E29" s="45" t="s">
        <v>40</v>
      </c>
      <c r="J29" s="105" t="s">
        <v>48</v>
      </c>
    </row>
    <row r="30" spans="2:10" s="33" customFormat="1" ht="20" customHeight="1" thickTop="1" x14ac:dyDescent="0.2">
      <c r="C30" s="332" t="s">
        <v>42</v>
      </c>
      <c r="D30" s="249">
        <v>723</v>
      </c>
      <c r="E30" s="45" t="s">
        <v>39</v>
      </c>
      <c r="J30" s="107" t="str">
        <f>IFERROR(IF(D29/D30&gt;1.35,"Greater DC to AC kW ratio than expected. ", IF(D30&gt;=D29, "AC system size greater than or equal to DC system size. ","")),"")</f>
        <v/>
      </c>
    </row>
    <row r="31" spans="2:10" s="33" customFormat="1" ht="20" customHeight="1" x14ac:dyDescent="0.2">
      <c r="C31" s="332" t="s">
        <v>41</v>
      </c>
      <c r="D31" s="250">
        <v>1493330</v>
      </c>
      <c r="E31" s="45" t="s">
        <v>47</v>
      </c>
      <c r="J31" s="432" t="str">
        <f>IF(D31&gt;D30*6*365.25,"Annual production (kWh) greater than expected for system size and national peak sun-hours. ","")</f>
        <v/>
      </c>
    </row>
    <row r="32" spans="2:10" s="33" customFormat="1" ht="11.25" customHeight="1" x14ac:dyDescent="0.2">
      <c r="B32" s="33" t="s">
        <v>323</v>
      </c>
      <c r="C32" s="332"/>
      <c r="D32" s="58"/>
      <c r="E32" s="58"/>
      <c r="F32" s="58"/>
      <c r="G32" s="58"/>
      <c r="H32" s="58"/>
      <c r="J32" s="431"/>
    </row>
    <row r="33" spans="2:10" s="33" customFormat="1" ht="20" customHeight="1" x14ac:dyDescent="0.2">
      <c r="C33" s="332" t="s">
        <v>104</v>
      </c>
      <c r="D33" s="109">
        <v>0.95</v>
      </c>
    </row>
    <row r="34" spans="2:10" s="33" customFormat="1" ht="11" customHeight="1" x14ac:dyDescent="0.2">
      <c r="C34" s="332"/>
    </row>
    <row r="35" spans="2:10" s="33" customFormat="1" ht="20" customHeight="1" x14ac:dyDescent="0.2">
      <c r="C35" s="332" t="s">
        <v>18</v>
      </c>
      <c r="D35" s="104" t="s">
        <v>26</v>
      </c>
      <c r="E35" s="253" t="str">
        <f>IF(D35="Other","Other panel location","")</f>
        <v>Other panel location</v>
      </c>
      <c r="F35" s="439" t="s">
        <v>478</v>
      </c>
      <c r="G35" s="439"/>
    </row>
    <row r="36" spans="2:10" s="33" customFormat="1" ht="30.75" customHeight="1" x14ac:dyDescent="0.2">
      <c r="C36" s="330" t="s">
        <v>19</v>
      </c>
      <c r="D36" s="275" t="s">
        <v>479</v>
      </c>
      <c r="E36" s="253"/>
      <c r="G36" s="252"/>
    </row>
    <row r="37" spans="2:10" s="33" customFormat="1" ht="12" customHeight="1" x14ac:dyDescent="0.2">
      <c r="C37" s="330"/>
      <c r="D37" s="110"/>
      <c r="E37" s="253"/>
      <c r="G37" s="252"/>
    </row>
    <row r="38" spans="2:10" s="33" customFormat="1" ht="20" customHeight="1" x14ac:dyDescent="0.2">
      <c r="C38" s="330" t="s">
        <v>61</v>
      </c>
      <c r="D38" s="41" t="s">
        <v>234</v>
      </c>
      <c r="E38" s="253"/>
      <c r="G38" s="252"/>
    </row>
    <row r="39" spans="2:10" s="33" customFormat="1" ht="18.75" customHeight="1" x14ac:dyDescent="0.2"/>
    <row r="40" spans="2:10" s="33" customFormat="1" ht="18.75" customHeight="1" x14ac:dyDescent="0.2">
      <c r="B40" s="437" t="s">
        <v>204</v>
      </c>
      <c r="C40" s="437"/>
      <c r="D40" s="437"/>
      <c r="E40" s="437"/>
      <c r="F40" s="437"/>
      <c r="G40" s="437"/>
      <c r="H40" s="437"/>
    </row>
    <row r="41" spans="2:10" s="33" customFormat="1" ht="17.25" customHeight="1" x14ac:dyDescent="0.2">
      <c r="B41" s="438" t="s">
        <v>151</v>
      </c>
      <c r="C41" s="438"/>
      <c r="D41" s="438"/>
      <c r="E41" s="438"/>
      <c r="F41" s="438"/>
      <c r="G41" s="438"/>
      <c r="H41" s="438"/>
      <c r="J41" s="434" t="s">
        <v>48</v>
      </c>
    </row>
    <row r="42" spans="2:10" s="33" customFormat="1" ht="9.75" customHeight="1" thickBot="1" x14ac:dyDescent="0.25">
      <c r="C42" s="112"/>
      <c r="J42" s="435"/>
    </row>
    <row r="43" spans="2:10" s="33" customFormat="1" ht="29.25" customHeight="1" thickTop="1" x14ac:dyDescent="0.2">
      <c r="C43" s="330" t="s">
        <v>99</v>
      </c>
      <c r="D43" s="41" t="s">
        <v>46</v>
      </c>
      <c r="J43" s="113" t="str">
        <f>IF(AND(D43="Yes",D23="Install photovoltaic system"),"Battery storage was not included in Recommended Project type. ",IF(AND(D43="No",OR(D23="Install photovoltaic system with battery storage",D23="Install battery storage")), "Battery storage was included in Recommended Project type.",""))</f>
        <v/>
      </c>
    </row>
    <row r="44" spans="2:10" s="33" customFormat="1" ht="15" customHeight="1" x14ac:dyDescent="0.2">
      <c r="C44" s="331"/>
      <c r="D44" s="114"/>
      <c r="E44" s="110"/>
    </row>
    <row r="45" spans="2:10" s="33" customFormat="1" ht="22.5" customHeight="1" x14ac:dyDescent="0.2">
      <c r="C45" s="332" t="s">
        <v>28</v>
      </c>
      <c r="D45" s="115"/>
      <c r="E45" s="253" t="str">
        <f>IF(D45="Other","Other battery type","")</f>
        <v/>
      </c>
      <c r="F45" s="111"/>
      <c r="G45" s="251"/>
    </row>
    <row r="46" spans="2:10" s="33" customFormat="1" ht="20" customHeight="1" x14ac:dyDescent="0.2">
      <c r="C46" s="332" t="s">
        <v>142</v>
      </c>
      <c r="D46" s="249"/>
      <c r="E46" s="45" t="s">
        <v>49</v>
      </c>
    </row>
    <row r="47" spans="2:10" s="33" customFormat="1" ht="20" customHeight="1" x14ac:dyDescent="0.2">
      <c r="C47" s="332" t="s">
        <v>143</v>
      </c>
      <c r="D47" s="250"/>
      <c r="E47" s="45" t="s">
        <v>141</v>
      </c>
    </row>
    <row r="48" spans="2:10" s="33" customFormat="1" ht="19.5" customHeight="1" x14ac:dyDescent="0.2"/>
    <row r="49" spans="1:12" s="33" customFormat="1" ht="23.25" customHeight="1" thickBot="1" x14ac:dyDescent="0.3">
      <c r="A49" s="10"/>
      <c r="B49" s="96" t="s">
        <v>34</v>
      </c>
      <c r="C49" s="12"/>
      <c r="D49" s="12"/>
      <c r="E49" s="12"/>
      <c r="F49" s="12"/>
      <c r="G49" s="12"/>
      <c r="H49" s="12"/>
      <c r="L49" s="116"/>
    </row>
    <row r="50" spans="1:12" s="33" customFormat="1" ht="15" customHeight="1" x14ac:dyDescent="0.2">
      <c r="B50" s="117"/>
      <c r="C50" s="117"/>
      <c r="D50" s="117"/>
      <c r="E50" s="117"/>
      <c r="F50" s="117"/>
      <c r="G50" s="117"/>
      <c r="H50" s="117"/>
      <c r="L50" s="116"/>
    </row>
    <row r="51" spans="1:12" ht="34.5" customHeight="1" thickBot="1" x14ac:dyDescent="0.25">
      <c r="C51" s="118" t="s">
        <v>50</v>
      </c>
      <c r="D51" s="119" t="s">
        <v>191</v>
      </c>
      <c r="E51" s="120" t="s">
        <v>192</v>
      </c>
      <c r="F51" s="119" t="s">
        <v>117</v>
      </c>
      <c r="G51" s="120" t="s">
        <v>367</v>
      </c>
      <c r="H51" s="170" t="s">
        <v>37</v>
      </c>
      <c r="J51" s="105" t="s">
        <v>48</v>
      </c>
    </row>
    <row r="52" spans="1:12" ht="28.25" customHeight="1" thickTop="1" x14ac:dyDescent="0.2">
      <c r="C52" s="121" t="s">
        <v>29</v>
      </c>
      <c r="D52" s="122" t="s">
        <v>480</v>
      </c>
      <c r="E52" s="123">
        <v>2150</v>
      </c>
      <c r="F52" s="124">
        <v>10</v>
      </c>
      <c r="G52" s="125">
        <v>25</v>
      </c>
      <c r="H52" s="352">
        <f>IF(D52="","",25)</f>
        <v>25</v>
      </c>
      <c r="J52" s="107" t="str">
        <f>IF(F52="","",IF(F52&lt;10,"Panel product warranty must be at least 10 years. ",""))&amp;IF(G52="","",IF(G52&lt;25,"Panel performance warranty must be at least 25 years. ",""))</f>
        <v/>
      </c>
    </row>
    <row r="53" spans="1:12" ht="28.25" customHeight="1" x14ac:dyDescent="0.2">
      <c r="C53" s="126" t="s">
        <v>30</v>
      </c>
      <c r="D53" s="122" t="s">
        <v>481</v>
      </c>
      <c r="E53" s="123">
        <v>17</v>
      </c>
      <c r="F53" s="127">
        <v>10</v>
      </c>
      <c r="G53" s="128" t="s">
        <v>32</v>
      </c>
      <c r="H53" s="353">
        <f>IF(D53="","",10)</f>
        <v>10</v>
      </c>
      <c r="J53" s="107" t="str">
        <f>IF(F53="","",IF(F53&lt;10,"Inverter warranty must be at least 10 years. ",""))</f>
        <v/>
      </c>
    </row>
    <row r="54" spans="1:12" ht="28.25" customHeight="1" x14ac:dyDescent="0.2">
      <c r="C54" s="126" t="s">
        <v>31</v>
      </c>
      <c r="D54" s="122" t="s">
        <v>482</v>
      </c>
      <c r="E54" s="128" t="s">
        <v>32</v>
      </c>
      <c r="F54" s="127">
        <v>25</v>
      </c>
      <c r="G54" s="128" t="s">
        <v>32</v>
      </c>
      <c r="H54" s="353">
        <f t="shared" ref="H54" si="0">IF(D54="","",25)</f>
        <v>25</v>
      </c>
      <c r="J54" s="107" t="str">
        <f>IF(F54="","",IF(F54&lt;10,"Racking system warranty must be at least 10 years. ",""))</f>
        <v/>
      </c>
    </row>
    <row r="55" spans="1:12" ht="28.25" customHeight="1" x14ac:dyDescent="0.2">
      <c r="C55" s="129" t="s">
        <v>118</v>
      </c>
      <c r="D55" s="130"/>
      <c r="E55" s="131"/>
      <c r="F55" s="132"/>
      <c r="G55" s="133" t="s">
        <v>32</v>
      </c>
      <c r="H55" s="108" t="str">
        <f>IF(D55="","",10)</f>
        <v/>
      </c>
      <c r="J55" s="134" t="str">
        <f>IF(F55="","",IF(F55&lt;10,"Battery warranty must be at least 10 years. ",""))</f>
        <v/>
      </c>
    </row>
    <row r="56" spans="1:12" ht="22.5" customHeight="1" x14ac:dyDescent="0.2">
      <c r="D56" s="135"/>
    </row>
    <row r="57" spans="1:12" ht="22.5" customHeight="1" thickBot="1" x14ac:dyDescent="0.3">
      <c r="B57" s="96" t="s">
        <v>35</v>
      </c>
      <c r="C57" s="12"/>
      <c r="D57" s="12"/>
      <c r="E57" s="12"/>
      <c r="F57" s="12"/>
      <c r="G57" s="12"/>
      <c r="H57" s="12"/>
    </row>
    <row r="58" spans="1:12" ht="24.75" customHeight="1" x14ac:dyDescent="0.3">
      <c r="B58" s="168" t="s">
        <v>350</v>
      </c>
      <c r="C58" s="97"/>
    </row>
    <row r="59" spans="1:12" s="33" customFormat="1" ht="9.75" customHeight="1" x14ac:dyDescent="0.2"/>
    <row r="60" spans="1:12" s="33" customFormat="1" ht="28.5" customHeight="1" thickBot="1" x14ac:dyDescent="0.25">
      <c r="C60" s="169" t="s">
        <v>105</v>
      </c>
      <c r="D60" s="170" t="s">
        <v>387</v>
      </c>
      <c r="J60" s="105" t="s">
        <v>48</v>
      </c>
    </row>
    <row r="61" spans="1:12" s="33" customFormat="1" ht="19.5" customHeight="1" thickTop="1" x14ac:dyDescent="0.2">
      <c r="C61" s="171" t="s">
        <v>36</v>
      </c>
      <c r="D61" s="172">
        <v>52</v>
      </c>
      <c r="J61" s="429" t="str">
        <f>IF(D61&gt;52,"Timeline completion waiver needed if Utility PTO is more than 52 weeks out from project start. ","")&amp;IF(AND(D68="Yes",OR(D69="No",D69="n/a")),"Required network upgrade assessment not complete.","")</f>
        <v/>
      </c>
    </row>
    <row r="62" spans="1:12" s="33" customFormat="1" ht="19.5" customHeight="1" x14ac:dyDescent="0.2">
      <c r="C62" s="354" t="s">
        <v>410</v>
      </c>
      <c r="D62" s="173">
        <v>24</v>
      </c>
      <c r="J62" s="430"/>
    </row>
    <row r="63" spans="1:12" s="33" customFormat="1" ht="19.5" customHeight="1" x14ac:dyDescent="0.2">
      <c r="C63" s="354" t="s">
        <v>412</v>
      </c>
      <c r="D63" s="173">
        <v>8</v>
      </c>
      <c r="J63" s="431"/>
    </row>
    <row r="64" spans="1:12" ht="19.5" customHeight="1" x14ac:dyDescent="0.2">
      <c r="C64" s="354" t="s">
        <v>411</v>
      </c>
      <c r="D64" s="173">
        <v>12</v>
      </c>
      <c r="F64" s="33"/>
    </row>
    <row r="65" spans="2:4" s="33" customFormat="1" ht="19.5" customHeight="1" x14ac:dyDescent="0.2">
      <c r="C65" s="354" t="s">
        <v>413</v>
      </c>
      <c r="D65" s="173">
        <v>40</v>
      </c>
    </row>
    <row r="66" spans="2:4" s="33" customFormat="1" ht="19.5" customHeight="1" x14ac:dyDescent="0.2">
      <c r="C66" s="108"/>
      <c r="D66" s="174"/>
    </row>
    <row r="68" spans="2:4" s="33" customFormat="1" ht="40.5" customHeight="1" x14ac:dyDescent="0.2">
      <c r="C68" s="330" t="s">
        <v>52</v>
      </c>
      <c r="D68" s="104" t="s">
        <v>46</v>
      </c>
    </row>
    <row r="69" spans="2:4" s="33" customFormat="1" ht="27" customHeight="1" x14ac:dyDescent="0.2">
      <c r="B69" s="33" t="s">
        <v>323</v>
      </c>
      <c r="C69" s="332" t="s">
        <v>59</v>
      </c>
      <c r="D69" s="175" t="s">
        <v>45</v>
      </c>
    </row>
    <row r="70" spans="2:4" s="33" customFormat="1" ht="9.75" customHeight="1" x14ac:dyDescent="0.2">
      <c r="C70" s="45"/>
    </row>
    <row r="78" spans="2:4" ht="20" customHeight="1" x14ac:dyDescent="0.2"/>
    <row r="79" spans="2:4" ht="20" customHeight="1" x14ac:dyDescent="0.2"/>
  </sheetData>
  <sheetProtection algorithmName="SHA-512" hashValue="PWeea8Sgl3xXc0YKjYhhbHwcX33MB9ocTvgct9lnzoO2L1NcjBRTiTjP+3BBYE+cZjuZQYxUduvGVmAB/8Q7KQ==" saltValue="R5QU2HZhVOwCoha07wG4mw==" spinCount="100000" sheet="1" objects="1" scenarios="1"/>
  <mergeCells count="12">
    <mergeCell ref="J61:J63"/>
    <mergeCell ref="J31:J32"/>
    <mergeCell ref="D25:F25"/>
    <mergeCell ref="J41:J42"/>
    <mergeCell ref="D8:E8"/>
    <mergeCell ref="D10:E10"/>
    <mergeCell ref="B40:H40"/>
    <mergeCell ref="B41:H41"/>
    <mergeCell ref="B27:H27"/>
    <mergeCell ref="D23:E23"/>
    <mergeCell ref="F35:G35"/>
    <mergeCell ref="D26:H26"/>
  </mergeCells>
  <conditionalFormatting sqref="D8 D10 D14 D23 D25 D29:D31 D52:E53">
    <cfRule type="expression" dxfId="64" priority="51">
      <formula>D8=""</formula>
    </cfRule>
  </conditionalFormatting>
  <conditionalFormatting sqref="D12">
    <cfRule type="expression" dxfId="63" priority="19">
      <formula>D12=""</formula>
    </cfRule>
  </conditionalFormatting>
  <conditionalFormatting sqref="D33">
    <cfRule type="expression" dxfId="62" priority="24">
      <formula>D33=""</formula>
    </cfRule>
  </conditionalFormatting>
  <conditionalFormatting sqref="D35:D36">
    <cfRule type="expression" dxfId="61" priority="45">
      <formula>D35=""</formula>
    </cfRule>
  </conditionalFormatting>
  <conditionalFormatting sqref="D38">
    <cfRule type="expression" dxfId="60" priority="9">
      <formula>D38=""</formula>
    </cfRule>
  </conditionalFormatting>
  <conditionalFormatting sqref="D43">
    <cfRule type="expression" dxfId="59" priority="37">
      <formula>D43=""</formula>
    </cfRule>
  </conditionalFormatting>
  <conditionalFormatting sqref="D45:D47 D55:F55">
    <cfRule type="expression" dxfId="58" priority="42">
      <formula>AND(D45="",$D$43="yes")</formula>
    </cfRule>
  </conditionalFormatting>
  <conditionalFormatting sqref="D54">
    <cfRule type="expression" dxfId="57" priority="31">
      <formula>D54=""</formula>
    </cfRule>
  </conditionalFormatting>
  <conditionalFormatting sqref="D61">
    <cfRule type="expression" dxfId="56" priority="8">
      <formula>D61=""</formula>
    </cfRule>
  </conditionalFormatting>
  <conditionalFormatting sqref="D62:D66">
    <cfRule type="expression" dxfId="55" priority="106">
      <formula>AND(D62="",C62&lt;&gt;"")</formula>
    </cfRule>
  </conditionalFormatting>
  <conditionalFormatting sqref="D68">
    <cfRule type="expression" dxfId="54" priority="6">
      <formula>D68=""</formula>
    </cfRule>
  </conditionalFormatting>
  <conditionalFormatting sqref="D69">
    <cfRule type="expression" dxfId="53" priority="7">
      <formula>AND(D69="",$D$68="Yes")</formula>
    </cfRule>
  </conditionalFormatting>
  <conditionalFormatting sqref="F52:F54">
    <cfRule type="expression" dxfId="52" priority="30">
      <formula>F52=""</formula>
    </cfRule>
  </conditionalFormatting>
  <conditionalFormatting sqref="F35:G35">
    <cfRule type="expression" dxfId="51" priority="1">
      <formula>AND(F35="",D35="Other")</formula>
    </cfRule>
    <cfRule type="expression" dxfId="50" priority="2">
      <formula>$D$35="Other"</formula>
    </cfRule>
  </conditionalFormatting>
  <conditionalFormatting sqref="F45:G45">
    <cfRule type="expression" dxfId="49" priority="22">
      <formula>AND(F45="",D45="Other")</formula>
    </cfRule>
    <cfRule type="expression" dxfId="48" priority="21">
      <formula>$D45&lt;&gt;"other"</formula>
    </cfRule>
  </conditionalFormatting>
  <conditionalFormatting sqref="G38">
    <cfRule type="expression" dxfId="47" priority="104">
      <formula>#REF!&lt;&gt;"other"</formula>
    </cfRule>
    <cfRule type="expression" dxfId="46" priority="105">
      <formula>AND(G38="",#REF!="Other")</formula>
    </cfRule>
  </conditionalFormatting>
  <conditionalFormatting sqref="G52">
    <cfRule type="expression" dxfId="45" priority="39">
      <formula>G52=""</formula>
    </cfRule>
  </conditionalFormatting>
  <conditionalFormatting sqref="H52:H54">
    <cfRule type="expression" dxfId="44" priority="4">
      <formula>H52=""</formula>
    </cfRule>
  </conditionalFormatting>
  <conditionalFormatting sqref="H55">
    <cfRule type="expression" dxfId="43" priority="3">
      <formula>AND(H55="",$D$43="yes")</formula>
    </cfRule>
  </conditionalFormatting>
  <dataValidations count="5">
    <dataValidation type="whole" operator="greaterThanOrEqual" allowBlank="1" showInputMessage="1" showErrorMessage="1" sqref="D31 H55 F52:F55 E52:E53 E55" xr:uid="{00000000-0002-0000-0300-000000000000}">
      <formula1>0</formula1>
    </dataValidation>
    <dataValidation type="date" allowBlank="1" showInputMessage="1" showErrorMessage="1" sqref="D12 D15:D18" xr:uid="{00000000-0002-0000-0300-000001000000}">
      <formula1>42005</formula1>
      <formula2>46388</formula2>
    </dataValidation>
    <dataValidation type="decimal" allowBlank="1" showInputMessage="1" showErrorMessage="1" sqref="D33" xr:uid="{00000000-0002-0000-0300-000002000000}">
      <formula1>0</formula1>
      <formula2>1</formula2>
    </dataValidation>
    <dataValidation type="decimal" operator="greaterThanOrEqual" allowBlank="1" showInputMessage="1" showErrorMessage="1" sqref="D29:D30 D61:D66" xr:uid="{00000000-0002-0000-0300-000003000000}">
      <formula1>0</formula1>
    </dataValidation>
    <dataValidation type="date" allowBlank="1" showInputMessage="1" showErrorMessage="1" sqref="D14" xr:uid="{F2F7EF0C-C34C-2044-A215-BC2FB2038890}">
      <formula1>42005</formula1>
      <formula2>49310</formula2>
    </dataValidation>
  </dataValidations>
  <pageMargins left="0.7" right="0.7" top="0.75" bottom="0.75" header="0.3" footer="0.3"/>
  <pageSetup paperSize="5" scale="84" orientation="portrait" r:id="rId1"/>
  <headerFooter>
    <oddFooter>&amp;L&amp;"Source Sans Pro,Regular"&amp;9 © 2023 Fannie Mae.Trademarks of Fannie Mae. _x000D_&amp;1#&amp;"Calibri"&amp;10&amp;K000000 Fannie Mae Confidential&amp;C&amp;"Source Sans Pro,Regular"&amp;9&amp;A&amp;R&amp;"Source Sans Pro,Regular"&amp;9 Form 4099.I -  October 2023 Solar Rewards Intake Form</oddFooter>
  </headerFooter>
  <rowBreaks count="2" manualBreakCount="2">
    <brk id="19" max="9" man="1"/>
    <brk id="56" max="9" man="1"/>
  </rowBreaks>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4000000}">
          <x14:formula1>
            <xm:f>Dropdowns!$A$2:$A$6</xm:f>
          </x14:formula1>
          <xm:sqref>D35</xm:sqref>
        </x14:dataValidation>
        <x14:dataValidation type="list" allowBlank="1" showInputMessage="1" showErrorMessage="1" xr:uid="{00000000-0002-0000-0300-000005000000}">
          <x14:formula1>
            <xm:f>Dropdowns!$D$2:$D$3</xm:f>
          </x14:formula1>
          <xm:sqref>D43 D68</xm:sqref>
        </x14:dataValidation>
        <x14:dataValidation type="list" allowBlank="1" showInputMessage="1" showErrorMessage="1" xr:uid="{00000000-0002-0000-0300-000007000000}">
          <x14:formula1>
            <xm:f>Dropdowns!$G$2:$G$5</xm:f>
          </x14:formula1>
          <xm:sqref>D45</xm:sqref>
        </x14:dataValidation>
        <x14:dataValidation type="list" allowBlank="1" showInputMessage="1" showErrorMessage="1" xr:uid="{00000000-0002-0000-0300-000008000000}">
          <x14:formula1>
            <xm:f>Dropdowns!$J$2:$J$5</xm:f>
          </x14:formula1>
          <xm:sqref>D23:E23</xm:sqref>
        </x14:dataValidation>
        <x14:dataValidation type="list" allowBlank="1" showInputMessage="1" showErrorMessage="1" xr:uid="{00000000-0002-0000-0500-000003000000}">
          <x14:formula1>
            <xm:f>Dropdowns!$N$2:$N$3</xm:f>
          </x14:formula1>
          <xm:sqref>D38</xm:sqref>
        </x14:dataValidation>
        <x14:dataValidation type="list" allowBlank="1" showInputMessage="1" showErrorMessage="1" xr:uid="{00000000-0002-0000-0500-000001000000}">
          <x14:formula1>
            <xm:f>Dropdowns!$D$2:$D$4</xm:f>
          </x14:formula1>
          <xm:sqref>D69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autoPageBreaks="0"/>
  </sheetPr>
  <dimension ref="A1:O35"/>
  <sheetViews>
    <sheetView showGridLines="0" zoomScaleNormal="100" zoomScalePageLayoutView="80" workbookViewId="0">
      <selection activeCell="D13" sqref="D13"/>
    </sheetView>
  </sheetViews>
  <sheetFormatPr baseColWidth="10" defaultColWidth="9.1640625" defaultRowHeight="15" x14ac:dyDescent="0.2"/>
  <cols>
    <col min="1" max="2" width="2.5" style="10" customWidth="1"/>
    <col min="3" max="3" width="42.1640625" style="10" customWidth="1"/>
    <col min="4" max="4" width="14.83203125" style="10" customWidth="1"/>
    <col min="5" max="5" width="15.5" style="10" customWidth="1"/>
    <col min="6" max="6" width="12.6640625" style="10" customWidth="1"/>
    <col min="7" max="7" width="15.1640625" style="10" customWidth="1"/>
    <col min="8" max="8" width="15" style="10" customWidth="1"/>
    <col min="9" max="9" width="16.5" style="10" customWidth="1"/>
    <col min="10" max="10" width="42.5" style="10" customWidth="1"/>
    <col min="11" max="11" width="4.5" style="10" customWidth="1"/>
    <col min="12" max="12" width="46.5" style="10" customWidth="1"/>
    <col min="13" max="13" width="16.1640625" style="10" customWidth="1"/>
    <col min="14" max="14" width="10.5" style="10" customWidth="1"/>
    <col min="15" max="15" width="21.5" style="10" customWidth="1"/>
    <col min="16" max="16" width="11.83203125" style="10" customWidth="1"/>
    <col min="17" max="17" width="11.1640625" style="10" customWidth="1"/>
    <col min="18" max="16384" width="9.1640625" style="10"/>
  </cols>
  <sheetData>
    <row r="1" spans="1:15" ht="23.25" customHeight="1" x14ac:dyDescent="0.2">
      <c r="B1" s="8"/>
      <c r="C1" s="9"/>
      <c r="D1" s="9"/>
      <c r="E1" s="9"/>
      <c r="F1" s="9"/>
      <c r="G1" s="9"/>
      <c r="H1" s="9"/>
      <c r="I1" s="9"/>
      <c r="J1" s="9"/>
      <c r="K1" s="9"/>
      <c r="L1" s="9"/>
      <c r="O1" s="9"/>
    </row>
    <row r="2" spans="1:15" ht="15" customHeight="1" x14ac:dyDescent="0.2">
      <c r="C2" s="9"/>
      <c r="D2" s="9"/>
      <c r="E2" s="9"/>
      <c r="F2" s="9"/>
      <c r="G2" s="9"/>
      <c r="H2" s="9"/>
      <c r="I2" s="9"/>
      <c r="J2" s="9"/>
      <c r="K2" s="9"/>
      <c r="L2" s="9"/>
    </row>
    <row r="3" spans="1:15" ht="25" x14ac:dyDescent="0.3">
      <c r="B3" s="27" t="s">
        <v>236</v>
      </c>
      <c r="J3" s="9"/>
    </row>
    <row r="4" spans="1:15" ht="17.25" customHeight="1" x14ac:dyDescent="0.2">
      <c r="B4" s="442" t="s">
        <v>332</v>
      </c>
      <c r="C4" s="442"/>
      <c r="D4" s="442"/>
      <c r="E4" s="442"/>
      <c r="F4" s="442"/>
      <c r="G4" s="442"/>
      <c r="H4" s="442"/>
      <c r="I4" s="442"/>
      <c r="J4" s="442"/>
    </row>
    <row r="5" spans="1:15" s="33" customFormat="1" ht="11.25" customHeight="1" x14ac:dyDescent="0.2"/>
    <row r="6" spans="1:15" s="33" customFormat="1" ht="23.25" customHeight="1" thickBot="1" x14ac:dyDescent="0.3">
      <c r="A6" s="10"/>
      <c r="B6" s="96" t="s">
        <v>205</v>
      </c>
      <c r="C6" s="12"/>
      <c r="D6" s="12"/>
      <c r="E6" s="12"/>
      <c r="F6" s="12"/>
      <c r="G6" s="12"/>
      <c r="H6" s="12"/>
      <c r="I6" s="12"/>
      <c r="J6" s="12"/>
      <c r="N6" s="116"/>
    </row>
    <row r="7" spans="1:15" ht="19.5" customHeight="1" x14ac:dyDescent="0.2">
      <c r="E7" s="48"/>
    </row>
    <row r="8" spans="1:15" ht="32.25" customHeight="1" x14ac:dyDescent="0.2">
      <c r="C8" s="330" t="s">
        <v>368</v>
      </c>
      <c r="D8" s="433" t="s">
        <v>483</v>
      </c>
      <c r="E8" s="433"/>
      <c r="F8" s="433"/>
      <c r="G8" s="433"/>
      <c r="I8" s="79"/>
    </row>
    <row r="9" spans="1:15" ht="15.5" customHeight="1" thickBot="1" x14ac:dyDescent="0.25">
      <c r="C9" s="327"/>
      <c r="L9" s="138" t="s">
        <v>48</v>
      </c>
    </row>
    <row r="10" spans="1:15" ht="35.5" customHeight="1" thickTop="1" x14ac:dyDescent="0.2">
      <c r="C10" s="330" t="s">
        <v>420</v>
      </c>
      <c r="D10" s="41" t="s">
        <v>45</v>
      </c>
      <c r="L10" s="113" t="str">
        <f>IF(D10="no","Intended solar application does not maintain coverage under roofing warranty - further explanation required. ",IF(AND(SUM(D13:D32)&gt;0,D10="n/a"),"Roofing warranty requirements noted as inapplicable - further explanation required. ",""))</f>
        <v/>
      </c>
    </row>
    <row r="11" spans="1:15" ht="21" customHeight="1" x14ac:dyDescent="0.2">
      <c r="F11" s="33"/>
      <c r="G11" s="33"/>
      <c r="H11" s="33"/>
      <c r="I11" s="33"/>
    </row>
    <row r="12" spans="1:15" ht="25" thickBot="1" x14ac:dyDescent="0.25">
      <c r="C12" s="140" t="s">
        <v>150</v>
      </c>
      <c r="D12" s="141" t="s">
        <v>64</v>
      </c>
      <c r="E12" s="142" t="s">
        <v>17</v>
      </c>
      <c r="F12" s="143" t="s">
        <v>51</v>
      </c>
      <c r="G12" s="144" t="s">
        <v>16</v>
      </c>
      <c r="H12" s="141" t="s">
        <v>335</v>
      </c>
      <c r="I12" s="145" t="s">
        <v>175</v>
      </c>
      <c r="J12" s="145" t="s">
        <v>66</v>
      </c>
      <c r="L12" s="105" t="s">
        <v>48</v>
      </c>
    </row>
    <row r="13" spans="1:15" ht="24" customHeight="1" thickTop="1" x14ac:dyDescent="0.2">
      <c r="C13" s="146" t="s">
        <v>484</v>
      </c>
      <c r="D13" s="147">
        <v>30.4</v>
      </c>
      <c r="E13" s="148" t="s">
        <v>27</v>
      </c>
      <c r="F13" s="149">
        <v>20</v>
      </c>
      <c r="G13" s="124" t="s">
        <v>32</v>
      </c>
      <c r="H13" s="147" t="s">
        <v>338</v>
      </c>
      <c r="I13" s="125" t="s">
        <v>45</v>
      </c>
      <c r="J13" s="150" t="s">
        <v>495</v>
      </c>
      <c r="L13" s="440" t="str">
        <f>IF(D13="","",IF(MROUND(D34,1)&lt;&gt;MROUND('Input-SystemDetails'!D29,1),"Total system size does not match system size indicated in System Details input tab. ",""))&amp;IF(COUNTIFS(G13:G32,"&lt;8",I13:I32,"No")&gt;0,"Roof replacement was not recommended for roof with less than 8 years remaining on warranty. ","")&amp;IF(COUNTIFS(F13:F32,"&gt;11",I13:I32,"No",G13:G32,"*")&gt;0,"Roof replacement was not recommended for roof older than 11 years. ","")&amp;IF(OR(COUNTIFS(H13:H32,"Fair",I13:I32,"No")&gt;0,COUNTIFS(H13:H32,"Poor",I13:I32,"No")&gt;0),"Roof replacement was not recommended for roof in fair/poor condition. ","")</f>
        <v/>
      </c>
    </row>
    <row r="14" spans="1:15" ht="19.5" customHeight="1" x14ac:dyDescent="0.2">
      <c r="C14" s="151" t="s">
        <v>485</v>
      </c>
      <c r="D14" s="152">
        <v>46</v>
      </c>
      <c r="E14" s="153" t="s">
        <v>27</v>
      </c>
      <c r="F14" s="154">
        <v>20</v>
      </c>
      <c r="G14" s="127" t="s">
        <v>32</v>
      </c>
      <c r="H14" s="152" t="s">
        <v>338</v>
      </c>
      <c r="I14" s="123" t="s">
        <v>45</v>
      </c>
      <c r="J14" s="155" t="s">
        <v>495</v>
      </c>
      <c r="L14" s="440"/>
    </row>
    <row r="15" spans="1:15" ht="19.5" customHeight="1" x14ac:dyDescent="0.2">
      <c r="C15" s="151" t="s">
        <v>486</v>
      </c>
      <c r="D15" s="152">
        <v>55.1</v>
      </c>
      <c r="E15" s="153" t="s">
        <v>27</v>
      </c>
      <c r="F15" s="154">
        <v>20</v>
      </c>
      <c r="G15" s="127" t="s">
        <v>32</v>
      </c>
      <c r="H15" s="152" t="s">
        <v>338</v>
      </c>
      <c r="I15" s="123" t="s">
        <v>45</v>
      </c>
      <c r="J15" s="155" t="s">
        <v>495</v>
      </c>
      <c r="L15" s="440"/>
    </row>
    <row r="16" spans="1:15" ht="19.5" customHeight="1" x14ac:dyDescent="0.2">
      <c r="C16" s="151" t="s">
        <v>487</v>
      </c>
      <c r="D16" s="152">
        <v>46</v>
      </c>
      <c r="E16" s="153" t="s">
        <v>27</v>
      </c>
      <c r="F16" s="154">
        <v>5</v>
      </c>
      <c r="G16" s="127">
        <v>10</v>
      </c>
      <c r="H16" s="152" t="s">
        <v>339</v>
      </c>
      <c r="I16" s="123" t="s">
        <v>46</v>
      </c>
      <c r="J16" s="155"/>
      <c r="L16" s="440"/>
    </row>
    <row r="17" spans="2:12" ht="19.5" customHeight="1" x14ac:dyDescent="0.2">
      <c r="C17" s="151" t="s">
        <v>488</v>
      </c>
      <c r="D17" s="152">
        <v>46</v>
      </c>
      <c r="E17" s="153" t="s">
        <v>27</v>
      </c>
      <c r="F17" s="154">
        <v>5</v>
      </c>
      <c r="G17" s="127">
        <v>10</v>
      </c>
      <c r="H17" s="152" t="s">
        <v>339</v>
      </c>
      <c r="I17" s="123" t="s">
        <v>46</v>
      </c>
      <c r="J17" s="155"/>
      <c r="L17" s="440"/>
    </row>
    <row r="18" spans="2:12" ht="19.5" customHeight="1" x14ac:dyDescent="0.2">
      <c r="C18" s="156" t="s">
        <v>489</v>
      </c>
      <c r="D18" s="157">
        <v>55.1</v>
      </c>
      <c r="E18" s="153" t="s">
        <v>27</v>
      </c>
      <c r="F18" s="154">
        <v>20</v>
      </c>
      <c r="G18" s="158" t="s">
        <v>32</v>
      </c>
      <c r="H18" s="157" t="s">
        <v>338</v>
      </c>
      <c r="I18" s="159" t="s">
        <v>45</v>
      </c>
      <c r="J18" s="160" t="s">
        <v>495</v>
      </c>
      <c r="L18" s="440"/>
    </row>
    <row r="19" spans="2:12" ht="19.5" customHeight="1" x14ac:dyDescent="0.2">
      <c r="C19" s="156" t="s">
        <v>490</v>
      </c>
      <c r="D19" s="157">
        <v>46</v>
      </c>
      <c r="E19" s="153" t="s">
        <v>27</v>
      </c>
      <c r="F19" s="154">
        <v>20</v>
      </c>
      <c r="G19" s="158" t="s">
        <v>32</v>
      </c>
      <c r="H19" s="157" t="s">
        <v>338</v>
      </c>
      <c r="I19" s="159" t="s">
        <v>45</v>
      </c>
      <c r="J19" s="160" t="s">
        <v>495</v>
      </c>
      <c r="L19" s="441"/>
    </row>
    <row r="20" spans="2:12" ht="19.5" customHeight="1" x14ac:dyDescent="0.2">
      <c r="C20" s="156" t="s">
        <v>491</v>
      </c>
      <c r="D20" s="157">
        <v>55.1</v>
      </c>
      <c r="E20" s="153" t="s">
        <v>27</v>
      </c>
      <c r="F20" s="154">
        <v>20</v>
      </c>
      <c r="G20" s="158" t="s">
        <v>32</v>
      </c>
      <c r="H20" s="157" t="s">
        <v>338</v>
      </c>
      <c r="I20" s="159" t="s">
        <v>45</v>
      </c>
      <c r="J20" s="160" t="s">
        <v>495</v>
      </c>
    </row>
    <row r="21" spans="2:12" ht="19.5" customHeight="1" x14ac:dyDescent="0.2">
      <c r="C21" s="156" t="s">
        <v>492</v>
      </c>
      <c r="D21" s="157">
        <v>40</v>
      </c>
      <c r="E21" s="153" t="s">
        <v>27</v>
      </c>
      <c r="F21" s="154">
        <v>20</v>
      </c>
      <c r="G21" s="158" t="s">
        <v>32</v>
      </c>
      <c r="H21" s="157" t="s">
        <v>338</v>
      </c>
      <c r="I21" s="159" t="s">
        <v>45</v>
      </c>
      <c r="J21" s="160" t="s">
        <v>495</v>
      </c>
    </row>
    <row r="22" spans="2:12" ht="19.5" customHeight="1" x14ac:dyDescent="0.2">
      <c r="C22" s="156" t="s">
        <v>493</v>
      </c>
      <c r="D22" s="157">
        <v>55.1</v>
      </c>
      <c r="E22" s="153" t="s">
        <v>27</v>
      </c>
      <c r="F22" s="154">
        <v>20</v>
      </c>
      <c r="G22" s="158" t="s">
        <v>32</v>
      </c>
      <c r="H22" s="157" t="s">
        <v>338</v>
      </c>
      <c r="I22" s="159" t="s">
        <v>45</v>
      </c>
      <c r="J22" s="160" t="s">
        <v>495</v>
      </c>
    </row>
    <row r="23" spans="2:12" ht="19.5" customHeight="1" x14ac:dyDescent="0.2">
      <c r="C23" s="156" t="s">
        <v>494</v>
      </c>
      <c r="D23" s="157">
        <v>46</v>
      </c>
      <c r="E23" s="153" t="s">
        <v>27</v>
      </c>
      <c r="F23" s="154">
        <v>5</v>
      </c>
      <c r="G23" s="158">
        <v>10</v>
      </c>
      <c r="H23" s="157" t="s">
        <v>339</v>
      </c>
      <c r="I23" s="159" t="s">
        <v>46</v>
      </c>
      <c r="J23" s="160"/>
    </row>
    <row r="24" spans="2:12" ht="19.5" customHeight="1" x14ac:dyDescent="0.2">
      <c r="C24" s="156"/>
      <c r="D24" s="157"/>
      <c r="E24" s="153"/>
      <c r="F24" s="154"/>
      <c r="G24" s="158"/>
      <c r="H24" s="157"/>
      <c r="I24" s="159"/>
      <c r="J24" s="160"/>
    </row>
    <row r="25" spans="2:12" ht="19.5" customHeight="1" x14ac:dyDescent="0.2">
      <c r="C25" s="156"/>
      <c r="D25" s="157"/>
      <c r="E25" s="153"/>
      <c r="F25" s="154"/>
      <c r="G25" s="158"/>
      <c r="H25" s="157"/>
      <c r="I25" s="159"/>
      <c r="J25" s="160"/>
    </row>
    <row r="26" spans="2:12" ht="19.5" customHeight="1" x14ac:dyDescent="0.2">
      <c r="C26" s="156"/>
      <c r="D26" s="157"/>
      <c r="E26" s="153"/>
      <c r="F26" s="154"/>
      <c r="G26" s="158"/>
      <c r="H26" s="157"/>
      <c r="I26" s="159"/>
      <c r="J26" s="160"/>
    </row>
    <row r="27" spans="2:12" ht="19.5" customHeight="1" x14ac:dyDescent="0.2">
      <c r="C27" s="156"/>
      <c r="D27" s="157"/>
      <c r="E27" s="153"/>
      <c r="F27" s="154"/>
      <c r="G27" s="158"/>
      <c r="H27" s="157"/>
      <c r="I27" s="159"/>
      <c r="J27" s="160"/>
    </row>
    <row r="28" spans="2:12" ht="19.5" customHeight="1" x14ac:dyDescent="0.2">
      <c r="C28" s="156"/>
      <c r="D28" s="157"/>
      <c r="E28" s="153"/>
      <c r="F28" s="154"/>
      <c r="G28" s="158"/>
      <c r="H28" s="157"/>
      <c r="I28" s="159"/>
      <c r="J28" s="160"/>
    </row>
    <row r="29" spans="2:12" ht="19.5" customHeight="1" x14ac:dyDescent="0.2">
      <c r="B29" s="10" t="s">
        <v>323</v>
      </c>
      <c r="C29" s="156"/>
      <c r="D29" s="157"/>
      <c r="E29" s="153"/>
      <c r="F29" s="154"/>
      <c r="G29" s="158"/>
      <c r="H29" s="157"/>
      <c r="I29" s="159"/>
      <c r="J29" s="160"/>
    </row>
    <row r="30" spans="2:12" ht="19.5" customHeight="1" x14ac:dyDescent="0.2">
      <c r="C30" s="156"/>
      <c r="D30" s="157"/>
      <c r="E30" s="153"/>
      <c r="F30" s="154"/>
      <c r="G30" s="158"/>
      <c r="H30" s="157"/>
      <c r="I30" s="159"/>
      <c r="J30" s="160"/>
    </row>
    <row r="31" spans="2:12" ht="19.5" customHeight="1" x14ac:dyDescent="0.2">
      <c r="C31" s="156"/>
      <c r="D31" s="157"/>
      <c r="E31" s="153"/>
      <c r="F31" s="154"/>
      <c r="G31" s="158"/>
      <c r="H31" s="157"/>
      <c r="I31" s="159"/>
      <c r="J31" s="160"/>
    </row>
    <row r="32" spans="2:12" ht="19.5" customHeight="1" x14ac:dyDescent="0.2">
      <c r="C32" s="161"/>
      <c r="D32" s="162"/>
      <c r="E32" s="163"/>
      <c r="F32" s="164"/>
      <c r="G32" s="165"/>
      <c r="H32" s="162"/>
      <c r="I32" s="166"/>
      <c r="J32" s="167"/>
    </row>
    <row r="33" spans="3:10" ht="19.5" customHeight="1" x14ac:dyDescent="0.2">
      <c r="C33" s="338" t="s">
        <v>442</v>
      </c>
      <c r="D33" s="41">
        <v>330</v>
      </c>
      <c r="J33" s="376"/>
    </row>
    <row r="34" spans="3:10" ht="22" customHeight="1" x14ac:dyDescent="0.2">
      <c r="C34" s="338" t="s">
        <v>369</v>
      </c>
      <c r="D34" s="276">
        <f>SUM(D13:D33)</f>
        <v>850.80000000000007</v>
      </c>
    </row>
    <row r="35" spans="3:10" ht="22" customHeight="1" x14ac:dyDescent="0.2"/>
  </sheetData>
  <sheetProtection algorithmName="SHA-512" hashValue="K40dzpcLY6nN7P4k9FhlDjwO4xWvVjWjFdWA2Mvtyy2oKwHDbXnV0dBJDdhr2yUgCRAM7WCtd7IidBztzXXUbg==" saltValue="5PqRCAcSbPddfugozyD5Pg==" spinCount="100000" sheet="1" objects="1" scenarios="1"/>
  <mergeCells count="3">
    <mergeCell ref="L13:L19"/>
    <mergeCell ref="B4:J4"/>
    <mergeCell ref="D8:G8"/>
  </mergeCells>
  <conditionalFormatting sqref="D8 D10">
    <cfRule type="expression" dxfId="41" priority="45">
      <formula>AND(COUNTIF($I$13:$I$32,"yes")&gt;0,D8="")</formula>
    </cfRule>
  </conditionalFormatting>
  <conditionalFormatting sqref="D13:I32">
    <cfRule type="expression" dxfId="40" priority="16">
      <formula>AND($C13&lt;&gt;"",$C13&lt;&gt;"n/a",D13="")</formula>
    </cfRule>
  </conditionalFormatting>
  <conditionalFormatting sqref="J13:J33">
    <cfRule type="expression" dxfId="39" priority="1">
      <formula>AND(J13="",$I13="Yes")</formula>
    </cfRule>
  </conditionalFormatting>
  <pageMargins left="0.7" right="0.7" top="0.75" bottom="0.75" header="0.3" footer="0.3"/>
  <pageSetup paperSize="5" scale="84" orientation="portrait" r:id="rId1"/>
  <headerFooter>
    <oddFooter>&amp;L&amp;"Source Sans Pro,Regular"&amp;9 © 2023 Fannie Mae.Trademarks of Fannie Mae. _x000D_&amp;1#&amp;"Calibri"&amp;10&amp;K000000 Fannie Mae Confidential&amp;C&amp;"Source Sans Pro,Regular"&amp;9&amp;A&amp;R&amp;"Source Sans Pro,Regular"&amp;9 Form 4099.I -  October 2023 Solar Rewards Intake Form</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17" id="{00000000-000E-0000-0400-000010000000}">
            <xm:f>AND('Input-SystemDetails'!D35="Roof",C13="")</xm:f>
            <x14:dxf>
              <fill>
                <patternFill>
                  <bgColor rgb="FFFFFF99"/>
                </patternFill>
              </fill>
            </x14:dxf>
          </x14:cfRule>
          <xm:sqref>C13</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0000000}">
          <x14:formula1>
            <xm:f>Dropdowns!$C$2:$C$4</xm:f>
          </x14:formula1>
          <xm:sqref>E13:E32</xm:sqref>
        </x14:dataValidation>
        <x14:dataValidation type="list" allowBlank="1" showInputMessage="1" showErrorMessage="1" xr:uid="{00000000-0002-0000-0400-000001000000}">
          <x14:formula1>
            <xm:f>Dropdowns!$D$2:$D$3</xm:f>
          </x14:formula1>
          <xm:sqref>I13:I32</xm:sqref>
        </x14:dataValidation>
        <x14:dataValidation type="list" allowBlank="1" showInputMessage="1" showErrorMessage="1" xr:uid="{76859936-728D-4733-A6AD-F09720EBEAC4}">
          <x14:formula1>
            <xm:f>Dropdowns!$D$2:$D$4</xm:f>
          </x14:formula1>
          <xm:sqref>D10</xm:sqref>
        </x14:dataValidation>
        <x14:dataValidation type="list" allowBlank="1" showInputMessage="1" showErrorMessage="1" xr:uid="{594BE0D9-F672-40E4-B77D-30DA0C00D0C2}">
          <x14:formula1>
            <xm:f>Dropdowns!$O$2:$O$5</xm:f>
          </x14:formula1>
          <xm:sqref>H13:H32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149F0-02FF-486D-82F2-002BC2710EE7}">
  <sheetPr>
    <tabColor rgb="FF92D050"/>
    <pageSetUpPr autoPageBreaks="0"/>
  </sheetPr>
  <dimension ref="B1:O36"/>
  <sheetViews>
    <sheetView showGridLines="0" topLeftCell="B5" zoomScaleNormal="100" workbookViewId="0">
      <selection activeCell="F10" sqref="F10:F11"/>
    </sheetView>
  </sheetViews>
  <sheetFormatPr baseColWidth="10" defaultColWidth="8.83203125" defaultRowHeight="15" x14ac:dyDescent="0.2"/>
  <cols>
    <col min="1" max="1" width="2.5" style="10" customWidth="1"/>
    <col min="2" max="2" width="3.83203125" style="10" customWidth="1"/>
    <col min="3" max="3" width="4.5" style="10" customWidth="1"/>
    <col min="4" max="4" width="42.6640625" style="10" customWidth="1"/>
    <col min="5" max="5" width="20.33203125" style="10" customWidth="1"/>
    <col min="6" max="6" width="15" style="10" customWidth="1"/>
    <col min="7" max="7" width="13.5" style="10" customWidth="1"/>
    <col min="8" max="13" width="11.5" style="10" bestFit="1" customWidth="1"/>
    <col min="14" max="14" width="4" style="10" customWidth="1"/>
    <col min="15" max="15" width="48.5" style="10" customWidth="1"/>
    <col min="16" max="16384" width="8.83203125" style="10"/>
  </cols>
  <sheetData>
    <row r="1" spans="2:15" ht="23.25" customHeight="1" x14ac:dyDescent="0.2">
      <c r="B1" s="8"/>
    </row>
    <row r="3" spans="2:15" ht="25" x14ac:dyDescent="0.3">
      <c r="B3" s="27" t="s">
        <v>378</v>
      </c>
      <c r="G3" s="9"/>
    </row>
    <row r="4" spans="2:15" ht="16.5" customHeight="1" x14ac:dyDescent="0.2">
      <c r="B4" s="28" t="s">
        <v>388</v>
      </c>
      <c r="G4" s="9"/>
    </row>
    <row r="5" spans="2:15" ht="16.5" customHeight="1" x14ac:dyDescent="0.2">
      <c r="B5" s="28"/>
      <c r="G5" s="9"/>
    </row>
    <row r="6" spans="2:15" s="33" customFormat="1" ht="18" customHeight="1" thickBot="1" x14ac:dyDescent="0.25">
      <c r="C6" s="282" t="s">
        <v>106</v>
      </c>
      <c r="D6" s="277"/>
      <c r="E6" s="277"/>
      <c r="F6" s="278"/>
      <c r="G6" s="444" t="s">
        <v>66</v>
      </c>
      <c r="H6" s="445"/>
      <c r="I6" s="445"/>
      <c r="J6" s="445"/>
      <c r="K6" s="445"/>
      <c r="L6" s="445"/>
      <c r="M6" s="446"/>
      <c r="O6" s="434" t="s">
        <v>48</v>
      </c>
    </row>
    <row r="7" spans="2:15" s="33" customFormat="1" ht="18" customHeight="1" thickTop="1" thickBot="1" x14ac:dyDescent="0.25">
      <c r="C7" s="211" t="s">
        <v>382</v>
      </c>
      <c r="D7" s="293"/>
      <c r="E7" s="294"/>
      <c r="F7" s="312" t="s">
        <v>402</v>
      </c>
      <c r="G7" s="447"/>
      <c r="H7" s="448"/>
      <c r="I7" s="448"/>
      <c r="J7" s="448"/>
      <c r="K7" s="448"/>
      <c r="L7" s="448"/>
      <c r="M7" s="449"/>
      <c r="O7" s="435"/>
    </row>
    <row r="8" spans="2:15" s="33" customFormat="1" ht="18" customHeight="1" thickTop="1" x14ac:dyDescent="0.2">
      <c r="C8" s="297"/>
      <c r="D8" s="298" t="s">
        <v>112</v>
      </c>
      <c r="E8" s="287"/>
      <c r="F8" s="346">
        <v>595518</v>
      </c>
      <c r="G8" s="450"/>
      <c r="H8" s="451"/>
      <c r="I8" s="451"/>
      <c r="J8" s="451"/>
      <c r="K8" s="451"/>
      <c r="L8" s="451"/>
      <c r="M8" s="452"/>
      <c r="O8" s="443" t="str">
        <f>IF(COUNTIFS(C16:C22,"No",F16:F22,"&gt;0")&gt;0,"Costs entered for pre-existing conditions not indicated in Column E and/or Roof Mounted Systems input tab. ","")&amp;IF(COUNTIFS(C16:C22,"Yes",F16:F22,0)&gt;0,"Zero costs entered for pre-existing conditions indicated in Column E and/or Roof Mounted Systems input tab. ","")&amp;IF(COUNTIFS(C24:C26,"No",F24:F26,"&gt;0")&gt;0,"Costs entered for one-time utility fees not indicated in Column E. ","")&amp;IF(COUNTIFS(C24:C26,"Yes",F24:F26,0)&gt;0,"Zero costs entered for one-time utility fees indicated in Column E. ","")&amp;IF(COUNTIFS(C28:C29,"No",F28:F29,"&gt;0")&gt;0,"Costs entered for ongoing utility fees not indicated in Column E. ","")&amp;IF(COUNTIFS(C28:C29,"Yes",F28:F29,0)&gt;0,"Zero costs entered for ongoing utility fees indicated in Column E. ","")&amp;IF(F11="","",IF(F11&lt;0.05*SUM(F8:F10),"5% of equipment costs allocated for contingency recommended. ",""))</f>
        <v/>
      </c>
    </row>
    <row r="9" spans="2:15" s="33" customFormat="1" ht="18" customHeight="1" x14ac:dyDescent="0.2">
      <c r="C9" s="286"/>
      <c r="D9" s="285" t="s">
        <v>113</v>
      </c>
      <c r="E9" s="288"/>
      <c r="F9" s="347">
        <v>163000</v>
      </c>
      <c r="G9" s="453"/>
      <c r="H9" s="454"/>
      <c r="I9" s="454"/>
      <c r="J9" s="454"/>
      <c r="K9" s="454"/>
      <c r="L9" s="454"/>
      <c r="M9" s="455"/>
      <c r="O9" s="440"/>
    </row>
    <row r="10" spans="2:15" s="33" customFormat="1" ht="18" customHeight="1" x14ac:dyDescent="0.2">
      <c r="C10" s="286"/>
      <c r="D10" s="285" t="s">
        <v>114</v>
      </c>
      <c r="E10" s="288"/>
      <c r="F10" s="347">
        <v>843173</v>
      </c>
      <c r="G10" s="453" t="s">
        <v>496</v>
      </c>
      <c r="H10" s="454"/>
      <c r="I10" s="454"/>
      <c r="J10" s="454"/>
      <c r="K10" s="454"/>
      <c r="L10" s="454"/>
      <c r="M10" s="455"/>
      <c r="O10" s="440"/>
    </row>
    <row r="11" spans="2:15" s="33" customFormat="1" ht="18" customHeight="1" x14ac:dyDescent="0.2">
      <c r="C11" s="286"/>
      <c r="D11" s="358" t="s">
        <v>109</v>
      </c>
      <c r="E11" s="288"/>
      <c r="F11" s="347">
        <v>200000</v>
      </c>
      <c r="G11" s="453"/>
      <c r="H11" s="454"/>
      <c r="I11" s="454"/>
      <c r="J11" s="454"/>
      <c r="K11" s="454"/>
      <c r="L11" s="454"/>
      <c r="M11" s="455"/>
      <c r="O11" s="440"/>
    </row>
    <row r="12" spans="2:15" s="33" customFormat="1" ht="18" customHeight="1" x14ac:dyDescent="0.2">
      <c r="C12" s="286"/>
      <c r="D12" s="285" t="s">
        <v>110</v>
      </c>
      <c r="E12" s="288"/>
      <c r="F12" s="347">
        <v>470357</v>
      </c>
      <c r="G12" s="453"/>
      <c r="H12" s="454"/>
      <c r="I12" s="454"/>
      <c r="J12" s="454"/>
      <c r="K12" s="454"/>
      <c r="L12" s="454"/>
      <c r="M12" s="455"/>
      <c r="O12" s="440"/>
    </row>
    <row r="13" spans="2:15" s="33" customFormat="1" ht="18" customHeight="1" x14ac:dyDescent="0.2">
      <c r="C13" s="348"/>
      <c r="D13" s="349" t="s">
        <v>95</v>
      </c>
      <c r="E13" s="350"/>
      <c r="F13" s="351">
        <v>120591</v>
      </c>
      <c r="G13" s="456"/>
      <c r="H13" s="457"/>
      <c r="I13" s="457"/>
      <c r="J13" s="457"/>
      <c r="K13" s="457"/>
      <c r="L13" s="457"/>
      <c r="M13" s="458"/>
      <c r="O13" s="440"/>
    </row>
    <row r="14" spans="2:15" s="33" customFormat="1" ht="18" customHeight="1" x14ac:dyDescent="0.2">
      <c r="C14" s="289"/>
      <c r="D14" s="290" t="s">
        <v>409</v>
      </c>
      <c r="E14" s="291"/>
      <c r="F14" s="344">
        <v>144438</v>
      </c>
      <c r="G14" s="462"/>
      <c r="H14" s="463"/>
      <c r="I14" s="463"/>
      <c r="J14" s="463"/>
      <c r="K14" s="463"/>
      <c r="L14" s="463"/>
      <c r="M14" s="464"/>
      <c r="O14" s="440"/>
    </row>
    <row r="15" spans="2:15" s="33" customFormat="1" ht="40.5" customHeight="1" x14ac:dyDescent="0.2">
      <c r="C15" s="313" t="s">
        <v>209</v>
      </c>
      <c r="D15" s="314"/>
      <c r="E15" s="315" t="s">
        <v>377</v>
      </c>
      <c r="F15" s="316" t="s">
        <v>402</v>
      </c>
      <c r="G15" s="459"/>
      <c r="H15" s="460"/>
      <c r="I15" s="460"/>
      <c r="J15" s="460"/>
      <c r="K15" s="460"/>
      <c r="L15" s="460"/>
      <c r="M15" s="461"/>
      <c r="O15" s="440"/>
    </row>
    <row r="16" spans="2:15" s="33" customFormat="1" ht="18" customHeight="1" x14ac:dyDescent="0.2">
      <c r="C16" s="372" t="str">
        <f>'Lender Validation'!F24</f>
        <v>Yes</v>
      </c>
      <c r="D16" s="304" t="s">
        <v>210</v>
      </c>
      <c r="E16" s="305" t="str">
        <f>IF(COUNTIF('Input-RoofMountedSystems'!I13:I32,"Yes")&gt;0,"Yes","No")</f>
        <v>Yes</v>
      </c>
      <c r="F16" s="345">
        <v>280000</v>
      </c>
      <c r="G16" s="450"/>
      <c r="H16" s="451"/>
      <c r="I16" s="451"/>
      <c r="J16" s="451"/>
      <c r="K16" s="451"/>
      <c r="L16" s="451"/>
      <c r="M16" s="452"/>
      <c r="O16" s="440"/>
    </row>
    <row r="17" spans="3:15" s="33" customFormat="1" ht="18" customHeight="1" x14ac:dyDescent="0.2">
      <c r="C17" s="373" t="str">
        <f>'Input-UpfrontExpenses'!E17</f>
        <v>No</v>
      </c>
      <c r="D17" s="285" t="s">
        <v>217</v>
      </c>
      <c r="E17" s="127" t="s">
        <v>46</v>
      </c>
      <c r="F17" s="343"/>
      <c r="G17" s="453"/>
      <c r="H17" s="454"/>
      <c r="I17" s="454"/>
      <c r="J17" s="454"/>
      <c r="K17" s="454"/>
      <c r="L17" s="454"/>
      <c r="M17" s="455"/>
      <c r="O17" s="441"/>
    </row>
    <row r="18" spans="3:15" s="33" customFormat="1" ht="18" customHeight="1" x14ac:dyDescent="0.2">
      <c r="C18" s="373" t="str">
        <f>'Input-UpfrontExpenses'!E18</f>
        <v>No</v>
      </c>
      <c r="D18" s="285" t="s">
        <v>407</v>
      </c>
      <c r="E18" s="127" t="s">
        <v>46</v>
      </c>
      <c r="F18" s="343"/>
      <c r="G18" s="453"/>
      <c r="H18" s="454"/>
      <c r="I18" s="454"/>
      <c r="J18" s="454"/>
      <c r="K18" s="454"/>
      <c r="L18" s="454"/>
      <c r="M18" s="455"/>
    </row>
    <row r="19" spans="3:15" s="33" customFormat="1" ht="18" customHeight="1" x14ac:dyDescent="0.2">
      <c r="C19" s="373" t="str">
        <f>'Input-UpfrontExpenses'!E19</f>
        <v>Yes</v>
      </c>
      <c r="D19" s="285" t="s">
        <v>206</v>
      </c>
      <c r="E19" s="127" t="s">
        <v>45</v>
      </c>
      <c r="F19" s="343">
        <v>2000</v>
      </c>
      <c r="G19" s="453" t="s">
        <v>497</v>
      </c>
      <c r="H19" s="454"/>
      <c r="I19" s="454"/>
      <c r="J19" s="454"/>
      <c r="K19" s="454"/>
      <c r="L19" s="454"/>
      <c r="M19" s="455"/>
      <c r="O19" s="357"/>
    </row>
    <row r="20" spans="3:15" s="33" customFormat="1" ht="18" customHeight="1" x14ac:dyDescent="0.2">
      <c r="C20" s="373" t="str">
        <f>'Input-UpfrontExpenses'!E20</f>
        <v>No</v>
      </c>
      <c r="D20" s="285" t="s">
        <v>218</v>
      </c>
      <c r="E20" s="127" t="s">
        <v>46</v>
      </c>
      <c r="F20" s="343"/>
      <c r="G20" s="453"/>
      <c r="H20" s="454"/>
      <c r="I20" s="454"/>
      <c r="J20" s="454"/>
      <c r="K20" s="454"/>
      <c r="L20" s="454"/>
      <c r="M20" s="455"/>
    </row>
    <row r="21" spans="3:15" s="33" customFormat="1" ht="18" customHeight="1" x14ac:dyDescent="0.2">
      <c r="C21" s="373" t="str">
        <f>'Input-UpfrontExpenses'!E21</f>
        <v>No</v>
      </c>
      <c r="D21" s="285" t="s">
        <v>207</v>
      </c>
      <c r="E21" s="127" t="s">
        <v>46</v>
      </c>
      <c r="F21" s="343"/>
      <c r="G21" s="453"/>
      <c r="H21" s="454"/>
      <c r="I21" s="454"/>
      <c r="J21" s="454"/>
      <c r="K21" s="454"/>
      <c r="L21" s="454"/>
      <c r="M21" s="455"/>
    </row>
    <row r="22" spans="3:15" s="33" customFormat="1" ht="18" customHeight="1" x14ac:dyDescent="0.2">
      <c r="C22" s="374" t="str">
        <f>'Input-UpfrontExpenses'!E22</f>
        <v>No</v>
      </c>
      <c r="D22" s="290" t="s">
        <v>208</v>
      </c>
      <c r="E22" s="165" t="s">
        <v>46</v>
      </c>
      <c r="F22" s="344"/>
      <c r="G22" s="453"/>
      <c r="H22" s="454"/>
      <c r="I22" s="454"/>
      <c r="J22" s="454"/>
      <c r="K22" s="454"/>
      <c r="L22" s="454"/>
      <c r="M22" s="455"/>
    </row>
    <row r="23" spans="3:15" s="33" customFormat="1" ht="26.25" customHeight="1" x14ac:dyDescent="0.2">
      <c r="C23" s="211" t="s">
        <v>379</v>
      </c>
      <c r="D23" s="279"/>
      <c r="E23" s="309" t="s">
        <v>197</v>
      </c>
      <c r="F23" s="310" t="s">
        <v>402</v>
      </c>
      <c r="G23" s="468"/>
      <c r="H23" s="469"/>
      <c r="I23" s="469"/>
      <c r="J23" s="469"/>
      <c r="K23" s="469"/>
      <c r="L23" s="469"/>
      <c r="M23" s="470"/>
    </row>
    <row r="24" spans="3:15" s="33" customFormat="1" ht="18" customHeight="1" x14ac:dyDescent="0.2">
      <c r="C24" s="373" t="str">
        <f>'Input-UpfrontExpenses'!E24</f>
        <v>No</v>
      </c>
      <c r="D24" s="306" t="s">
        <v>65</v>
      </c>
      <c r="E24" s="307" t="s">
        <v>46</v>
      </c>
      <c r="F24" s="341"/>
      <c r="G24" s="453"/>
      <c r="H24" s="454"/>
      <c r="I24" s="454"/>
      <c r="J24" s="454"/>
      <c r="K24" s="454"/>
      <c r="L24" s="454"/>
      <c r="M24" s="455"/>
    </row>
    <row r="25" spans="3:15" s="33" customFormat="1" ht="18" customHeight="1" x14ac:dyDescent="0.2">
      <c r="C25" s="373" t="str">
        <f>'Input-UpfrontExpenses'!E25</f>
        <v>No</v>
      </c>
      <c r="D25" s="285" t="s">
        <v>403</v>
      </c>
      <c r="E25" s="127" t="s">
        <v>46</v>
      </c>
      <c r="F25" s="343"/>
      <c r="G25" s="453"/>
      <c r="H25" s="454"/>
      <c r="I25" s="454"/>
      <c r="J25" s="454"/>
      <c r="K25" s="454"/>
      <c r="L25" s="454"/>
      <c r="M25" s="455"/>
    </row>
    <row r="26" spans="3:15" s="33" customFormat="1" ht="18" customHeight="1" x14ac:dyDescent="0.2">
      <c r="C26" s="374" t="str">
        <f>'Input-UpfrontExpenses'!E26</f>
        <v>No</v>
      </c>
      <c r="D26" s="290" t="s">
        <v>404</v>
      </c>
      <c r="E26" s="165" t="s">
        <v>46</v>
      </c>
      <c r="F26" s="344"/>
      <c r="G26" s="453"/>
      <c r="H26" s="454"/>
      <c r="I26" s="454"/>
      <c r="J26" s="454"/>
      <c r="K26" s="454"/>
      <c r="L26" s="454"/>
      <c r="M26" s="455"/>
    </row>
    <row r="27" spans="3:15" s="33" customFormat="1" ht="29.25" customHeight="1" x14ac:dyDescent="0.2">
      <c r="C27" s="211" t="s">
        <v>380</v>
      </c>
      <c r="D27" s="279"/>
      <c r="E27" s="309" t="s">
        <v>198</v>
      </c>
      <c r="F27" s="310" t="s">
        <v>376</v>
      </c>
      <c r="G27" s="468"/>
      <c r="H27" s="469"/>
      <c r="I27" s="469"/>
      <c r="J27" s="469"/>
      <c r="K27" s="469"/>
      <c r="L27" s="469"/>
      <c r="M27" s="470"/>
    </row>
    <row r="28" spans="3:15" s="33" customFormat="1" ht="18" customHeight="1" x14ac:dyDescent="0.2">
      <c r="C28" s="373" t="str">
        <f>'Input-UpfrontExpenses'!E28</f>
        <v>No</v>
      </c>
      <c r="D28" s="306" t="s">
        <v>405</v>
      </c>
      <c r="E28" s="307" t="s">
        <v>46</v>
      </c>
      <c r="F28" s="341"/>
      <c r="G28" s="453"/>
      <c r="H28" s="454"/>
      <c r="I28" s="454"/>
      <c r="J28" s="454"/>
      <c r="K28" s="454"/>
      <c r="L28" s="454"/>
      <c r="M28" s="455"/>
    </row>
    <row r="29" spans="3:15" s="33" customFormat="1" ht="18" customHeight="1" x14ac:dyDescent="0.2">
      <c r="C29" s="374" t="str">
        <f>'Input-UpfrontExpenses'!E29</f>
        <v>No</v>
      </c>
      <c r="D29" s="290" t="s">
        <v>406</v>
      </c>
      <c r="E29" s="165" t="s">
        <v>46</v>
      </c>
      <c r="F29" s="342"/>
      <c r="G29" s="453"/>
      <c r="H29" s="454"/>
      <c r="I29" s="454"/>
      <c r="J29" s="454"/>
      <c r="K29" s="454"/>
      <c r="L29" s="454"/>
      <c r="M29" s="455"/>
    </row>
    <row r="30" spans="3:15" s="33" customFormat="1" ht="29.25" customHeight="1" thickBot="1" x14ac:dyDescent="0.25">
      <c r="C30" s="299" t="s">
        <v>381</v>
      </c>
      <c r="D30" s="296"/>
      <c r="E30" s="309" t="s">
        <v>408</v>
      </c>
      <c r="F30" s="51" t="s">
        <v>376</v>
      </c>
      <c r="G30" s="468"/>
      <c r="H30" s="469"/>
      <c r="I30" s="469"/>
      <c r="J30" s="469"/>
      <c r="K30" s="469"/>
      <c r="L30" s="469"/>
      <c r="M30" s="470"/>
      <c r="O30" s="105" t="s">
        <v>48</v>
      </c>
    </row>
    <row r="31" spans="3:15" s="33" customFormat="1" ht="18" customHeight="1" thickTop="1" x14ac:dyDescent="0.2">
      <c r="C31" s="295"/>
      <c r="D31" s="302" t="s">
        <v>383</v>
      </c>
      <c r="E31" s="308" t="s">
        <v>45</v>
      </c>
      <c r="F31" s="340">
        <v>80000</v>
      </c>
      <c r="G31" s="462"/>
      <c r="H31" s="463"/>
      <c r="I31" s="463"/>
      <c r="J31" s="463"/>
      <c r="K31" s="463"/>
      <c r="L31" s="463"/>
      <c r="M31" s="464"/>
      <c r="O31" s="113" t="str">
        <f>IF(OR(E31="No",E31="Unknown"),"O&amp;M contract must be included in project for life of loan.","")</f>
        <v/>
      </c>
    </row>
    <row r="32" spans="3:15" s="33" customFormat="1" ht="21.75" customHeight="1" x14ac:dyDescent="0.2">
      <c r="C32" s="299" t="s">
        <v>384</v>
      </c>
      <c r="D32" s="300"/>
      <c r="E32" s="301"/>
      <c r="F32" s="311" t="s">
        <v>376</v>
      </c>
      <c r="G32" s="468"/>
      <c r="H32" s="469"/>
      <c r="I32" s="469"/>
      <c r="J32" s="469"/>
      <c r="K32" s="469"/>
      <c r="L32" s="469"/>
      <c r="M32" s="470"/>
      <c r="O32" s="292"/>
    </row>
    <row r="33" spans="3:13" s="33" customFormat="1" ht="18" customHeight="1" x14ac:dyDescent="0.2">
      <c r="C33" s="284"/>
      <c r="D33" s="318" t="s">
        <v>96</v>
      </c>
      <c r="E33" s="287"/>
      <c r="F33" s="339">
        <v>0</v>
      </c>
      <c r="G33" s="450"/>
      <c r="H33" s="451"/>
      <c r="I33" s="451"/>
      <c r="J33" s="451"/>
      <c r="K33" s="451"/>
      <c r="L33" s="451"/>
      <c r="M33" s="452"/>
    </row>
    <row r="34" spans="3:13" s="33" customFormat="1" ht="18" customHeight="1" x14ac:dyDescent="0.2">
      <c r="C34" s="364"/>
      <c r="D34" s="365" t="s">
        <v>418</v>
      </c>
      <c r="E34" s="288"/>
      <c r="F34" s="343">
        <v>0</v>
      </c>
      <c r="G34" s="453"/>
      <c r="H34" s="454"/>
      <c r="I34" s="454"/>
      <c r="J34" s="454"/>
      <c r="K34" s="454"/>
      <c r="L34" s="454"/>
      <c r="M34" s="455"/>
    </row>
    <row r="35" spans="3:13" s="33" customFormat="1" ht="18" customHeight="1" thickBot="1" x14ac:dyDescent="0.25">
      <c r="C35" s="360"/>
      <c r="D35" s="361" t="s">
        <v>26</v>
      </c>
      <c r="E35" s="362"/>
      <c r="F35" s="363">
        <v>0</v>
      </c>
      <c r="G35" s="465"/>
      <c r="H35" s="466"/>
      <c r="I35" s="466"/>
      <c r="J35" s="466"/>
      <c r="K35" s="466"/>
      <c r="L35" s="466"/>
      <c r="M35" s="467"/>
    </row>
    <row r="36" spans="3:13" s="33" customFormat="1" ht="21" customHeight="1" thickTop="1" x14ac:dyDescent="0.2">
      <c r="C36" s="283" t="s">
        <v>116</v>
      </c>
      <c r="D36" s="293"/>
      <c r="E36" s="294"/>
      <c r="F36" s="317">
        <f>SUM(F7:F35)</f>
        <v>2899077</v>
      </c>
      <c r="G36" s="303"/>
      <c r="H36" s="280"/>
      <c r="I36" s="280"/>
      <c r="J36" s="280"/>
      <c r="K36" s="280"/>
      <c r="L36" s="280"/>
      <c r="M36" s="281"/>
    </row>
  </sheetData>
  <sheetProtection algorithmName="SHA-512" hashValue="sGSpCYfbJ3gzHca9abSnTsWqIT/gtYOKYLAma56xvTTkt3IgmWDD5FTsUiCDFhaDi3s8uGrj7pjAGPR0py7q3A==" saltValue="N7kopy3TjlT+KccNVi92yg==" spinCount="100000" sheet="1" objects="1" scenarios="1"/>
  <mergeCells count="32">
    <mergeCell ref="G35:M35"/>
    <mergeCell ref="G34:M34"/>
    <mergeCell ref="G27:M27"/>
    <mergeCell ref="G28:M28"/>
    <mergeCell ref="G23:M23"/>
    <mergeCell ref="G24:M24"/>
    <mergeCell ref="G25:M25"/>
    <mergeCell ref="G26:M26"/>
    <mergeCell ref="G29:M29"/>
    <mergeCell ref="G30:M30"/>
    <mergeCell ref="G31:M31"/>
    <mergeCell ref="G32:M32"/>
    <mergeCell ref="G33:M33"/>
    <mergeCell ref="G18:M18"/>
    <mergeCell ref="G19:M19"/>
    <mergeCell ref="G20:M20"/>
    <mergeCell ref="G21:M21"/>
    <mergeCell ref="G22:M22"/>
    <mergeCell ref="O6:O7"/>
    <mergeCell ref="O8:O17"/>
    <mergeCell ref="G6:M6"/>
    <mergeCell ref="G7:M7"/>
    <mergeCell ref="G8:M8"/>
    <mergeCell ref="G9:M9"/>
    <mergeCell ref="G10:M10"/>
    <mergeCell ref="G11:M11"/>
    <mergeCell ref="G12:M12"/>
    <mergeCell ref="G13:M13"/>
    <mergeCell ref="G15:M15"/>
    <mergeCell ref="G16:M16"/>
    <mergeCell ref="G17:M17"/>
    <mergeCell ref="G14:M14"/>
  </mergeCells>
  <conditionalFormatting sqref="E17:E31">
    <cfRule type="expression" dxfId="38" priority="20">
      <formula>E17=""</formula>
    </cfRule>
  </conditionalFormatting>
  <conditionalFormatting sqref="F8:F14 F33:F34">
    <cfRule type="expression" dxfId="37" priority="3">
      <formula>F8=""</formula>
    </cfRule>
  </conditionalFormatting>
  <conditionalFormatting sqref="F16:F31">
    <cfRule type="expression" dxfId="36" priority="19">
      <formula>AND(F16="",E16="Yes")</formula>
    </cfRule>
  </conditionalFormatting>
  <conditionalFormatting sqref="G22:M22 G26:M26 G29:M29">
    <cfRule type="expression" dxfId="35" priority="2">
      <formula>AND(G22="",E22="Yes")</formula>
    </cfRule>
  </conditionalFormatting>
  <dataValidations count="1">
    <dataValidation type="decimal" operator="greaterThanOrEqual" allowBlank="1" showInputMessage="1" showErrorMessage="1" sqref="F8:F14 F16:F22 F24:F26 F28:F29 F31 F33:F35" xr:uid="{2D2CDD75-8C70-46F5-AE89-3179C712E0FB}">
      <formula1>0</formula1>
    </dataValidation>
  </dataValidations>
  <pageMargins left="0.7" right="0.7" top="0.75" bottom="0.75" header="0.3" footer="0.3"/>
  <pageSetup paperSize="5" scale="84" orientation="portrait" r:id="rId1"/>
  <headerFooter>
    <oddFooter>&amp;L&amp;"Source Sans Pro,Regular"&amp;9 © 2023 Fannie Mae.Trademarks of Fannie Mae. _x000D_&amp;1#&amp;"Calibri"&amp;10&amp;K000000 Fannie Mae Confidential&amp;C&amp;"Source Sans Pro,Regular"&amp;9&amp;A&amp;R&amp;"Source Sans Pro,Regular"&amp;9 Form 4099.I -  October 2023 Solar Rewards Intake Form</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1000000}">
          <x14:formula1>
            <xm:f>Dropdowns!$D$2:$D$3</xm:f>
          </x14:formula1>
          <xm:sqref>E24:E26 E28:E29 E17:E22</xm:sqref>
        </x14:dataValidation>
        <x14:dataValidation type="list" allowBlank="1" showInputMessage="1" showErrorMessage="1" xr:uid="{00000000-0002-0000-0500-000002000000}">
          <x14:formula1>
            <xm:f>Dropdowns!$M$2:$M$4</xm:f>
          </x14:formula1>
          <xm:sqref>E31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1A8D1-2F2A-4083-8B9A-A55F759D8720}">
  <sheetPr>
    <tabColor rgb="FF92D050"/>
    <pageSetUpPr autoPageBreaks="0"/>
  </sheetPr>
  <dimension ref="A1:M60"/>
  <sheetViews>
    <sheetView showGridLines="0" topLeftCell="A44" zoomScaleNormal="100" zoomScalePageLayoutView="70" workbookViewId="0">
      <selection activeCell="E37" sqref="E37:E38"/>
    </sheetView>
  </sheetViews>
  <sheetFormatPr baseColWidth="10" defaultColWidth="9.1640625" defaultRowHeight="15" x14ac:dyDescent="0.2"/>
  <cols>
    <col min="1" max="2" width="2.5" style="10" customWidth="1"/>
    <col min="3" max="3" width="44" style="327" customWidth="1"/>
    <col min="4" max="4" width="19.5" style="10" customWidth="1"/>
    <col min="5" max="5" width="17.5" style="10" customWidth="1"/>
    <col min="6" max="7" width="18.5" style="10" customWidth="1"/>
    <col min="8" max="8" width="20.5" style="10" customWidth="1"/>
    <col min="9" max="9" width="4.5" style="10" customWidth="1"/>
    <col min="10" max="10" width="46.5" style="10" customWidth="1"/>
    <col min="11" max="11" width="16.1640625" style="10" customWidth="1"/>
    <col min="12" max="12" width="10.5" style="10" customWidth="1"/>
    <col min="13" max="13" width="21.5" style="10" customWidth="1"/>
    <col min="14" max="14" width="11.83203125" style="10" customWidth="1"/>
    <col min="15" max="15" width="11.1640625" style="10" customWidth="1"/>
    <col min="16" max="16384" width="9.1640625" style="10"/>
  </cols>
  <sheetData>
    <row r="1" spans="2:13" ht="23.25" customHeight="1" x14ac:dyDescent="0.2">
      <c r="B1" s="8"/>
      <c r="C1" s="326"/>
      <c r="D1" s="9"/>
      <c r="E1" s="9"/>
      <c r="F1" s="9"/>
      <c r="G1" s="9"/>
      <c r="H1" s="9"/>
      <c r="I1" s="9"/>
      <c r="J1" s="9"/>
      <c r="M1" s="9"/>
    </row>
    <row r="2" spans="2:13" ht="15" customHeight="1" x14ac:dyDescent="0.2">
      <c r="C2" s="326"/>
      <c r="D2" s="9"/>
      <c r="E2" s="9"/>
      <c r="F2" s="9"/>
      <c r="G2" s="9"/>
      <c r="H2" s="9"/>
      <c r="I2" s="9"/>
      <c r="J2" s="9"/>
    </row>
    <row r="3" spans="2:13" ht="25" x14ac:dyDescent="0.3">
      <c r="B3" s="27" t="s">
        <v>375</v>
      </c>
      <c r="H3" s="9"/>
    </row>
    <row r="4" spans="2:13" ht="16.5" customHeight="1" x14ac:dyDescent="0.2">
      <c r="B4" s="28" t="s">
        <v>399</v>
      </c>
      <c r="H4" s="9"/>
    </row>
    <row r="5" spans="2:13" ht="15.75" customHeight="1" x14ac:dyDescent="0.2">
      <c r="C5" s="328"/>
      <c r="D5" s="95"/>
      <c r="E5" s="95"/>
      <c r="H5" s="9"/>
    </row>
    <row r="6" spans="2:13" ht="24.75" customHeight="1" thickBot="1" x14ac:dyDescent="0.3">
      <c r="B6" s="96" t="s">
        <v>145</v>
      </c>
      <c r="C6" s="329"/>
      <c r="D6" s="12"/>
      <c r="E6" s="12"/>
      <c r="F6" s="12"/>
      <c r="G6" s="12"/>
      <c r="H6" s="12"/>
    </row>
    <row r="7" spans="2:13" ht="18" customHeight="1" thickBot="1" x14ac:dyDescent="0.25">
      <c r="J7" s="105" t="s">
        <v>48</v>
      </c>
    </row>
    <row r="8" spans="2:13" ht="39" customHeight="1" thickTop="1" x14ac:dyDescent="0.2">
      <c r="C8" s="330" t="s">
        <v>434</v>
      </c>
      <c r="D8" s="41" t="s">
        <v>45</v>
      </c>
      <c r="J8" s="113" t="str">
        <f>IF(D10="","",IF(AND(D8="No", D10&lt;&gt;"n/a"),"Exported energy valuation entered when generated power will not be exported/net-metered. ",""))</f>
        <v/>
      </c>
    </row>
    <row r="9" spans="2:13" ht="10.5" customHeight="1" x14ac:dyDescent="0.2">
      <c r="C9" s="330"/>
      <c r="D9" s="110"/>
      <c r="E9" s="110"/>
      <c r="F9" s="110"/>
    </row>
    <row r="10" spans="2:13" ht="21" customHeight="1" x14ac:dyDescent="0.2">
      <c r="C10" s="330" t="s">
        <v>334</v>
      </c>
      <c r="D10" s="111" t="s">
        <v>146</v>
      </c>
      <c r="E10" s="110"/>
      <c r="F10" s="110"/>
    </row>
    <row r="11" spans="2:13" ht="12" customHeight="1" x14ac:dyDescent="0.2">
      <c r="C11" s="330"/>
      <c r="D11" s="110"/>
      <c r="E11" s="110"/>
      <c r="F11" s="110"/>
    </row>
    <row r="12" spans="2:13" ht="42" customHeight="1" x14ac:dyDescent="0.2">
      <c r="C12" s="330" t="s">
        <v>149</v>
      </c>
      <c r="D12" s="472" t="s">
        <v>498</v>
      </c>
      <c r="E12" s="473"/>
      <c r="F12" s="473"/>
      <c r="G12" s="474"/>
    </row>
    <row r="13" spans="2:13" ht="12" customHeight="1" x14ac:dyDescent="0.2">
      <c r="B13" s="33"/>
      <c r="C13" s="331"/>
      <c r="D13" s="33"/>
      <c r="E13" s="33"/>
      <c r="F13" s="33"/>
      <c r="G13" s="33"/>
    </row>
    <row r="14" spans="2:13" ht="38.5" customHeight="1" x14ac:dyDescent="0.2">
      <c r="B14" s="33"/>
      <c r="C14" s="330" t="s">
        <v>391</v>
      </c>
      <c r="D14" s="472" t="s">
        <v>499</v>
      </c>
      <c r="E14" s="473"/>
      <c r="F14" s="473"/>
      <c r="G14" s="474"/>
    </row>
    <row r="15" spans="2:13" x14ac:dyDescent="0.2">
      <c r="B15" s="33"/>
      <c r="C15" s="331"/>
      <c r="D15" s="33"/>
      <c r="E15" s="33"/>
      <c r="F15" s="33"/>
      <c r="G15" s="33"/>
    </row>
    <row r="16" spans="2:13" ht="22.5" customHeight="1" x14ac:dyDescent="0.25">
      <c r="B16" s="103"/>
      <c r="C16" s="437" t="s">
        <v>354</v>
      </c>
      <c r="D16" s="437"/>
      <c r="E16" s="437"/>
      <c r="F16" s="437"/>
      <c r="G16" s="437"/>
      <c r="H16" s="437"/>
      <c r="I16" s="437"/>
    </row>
    <row r="17" spans="1:10" ht="16.5" customHeight="1" thickBot="1" x14ac:dyDescent="0.3">
      <c r="B17" s="103"/>
      <c r="J17" s="105" t="s">
        <v>48</v>
      </c>
    </row>
    <row r="18" spans="1:10" ht="20" customHeight="1" thickTop="1" x14ac:dyDescent="0.25">
      <c r="B18" s="103"/>
      <c r="C18" s="330" t="s">
        <v>355</v>
      </c>
      <c r="D18" s="136">
        <v>1493330</v>
      </c>
      <c r="E18" s="45" t="s">
        <v>49</v>
      </c>
      <c r="J18" s="429" t="str">
        <f>IF(SUM(D18:D19)&gt;'Input-SystemDetails'!D31, "Total electricity offset by system greater than expected annual production in System Details input tab. ","")</f>
        <v/>
      </c>
    </row>
    <row r="19" spans="1:10" ht="20" customHeight="1" x14ac:dyDescent="0.25">
      <c r="B19" s="103"/>
      <c r="C19" s="330" t="s">
        <v>356</v>
      </c>
      <c r="D19" s="137">
        <v>0</v>
      </c>
      <c r="E19" s="45" t="s">
        <v>49</v>
      </c>
      <c r="J19" s="430"/>
    </row>
    <row r="20" spans="1:10" x14ac:dyDescent="0.2">
      <c r="C20" s="330"/>
      <c r="D20" s="110"/>
      <c r="E20" s="110"/>
      <c r="J20" s="475"/>
    </row>
    <row r="21" spans="1:10" ht="20" customHeight="1" x14ac:dyDescent="0.2">
      <c r="A21" s="33"/>
      <c r="B21" s="33"/>
      <c r="C21" s="330" t="s">
        <v>421</v>
      </c>
      <c r="D21" s="264">
        <v>148190</v>
      </c>
      <c r="E21" s="45"/>
      <c r="J21" s="471" t="str">
        <f>IF(D21="","",IF(OR(AND(D21=0,D18&gt;0),AND(D18=0,D21&gt;0)),"Missing owner cost or consumption savings. ",""))&amp;IF(D22="","",IF(OR(AND(D19=0,D22&gt;0),AND(D22=0,D19&gt;0)),"Missing tenant cost or consumption savings. ",""))</f>
        <v/>
      </c>
    </row>
    <row r="22" spans="1:10" ht="20" customHeight="1" x14ac:dyDescent="0.2">
      <c r="A22" s="33"/>
      <c r="B22" s="33"/>
      <c r="C22" s="330" t="s">
        <v>422</v>
      </c>
      <c r="D22" s="262">
        <v>0</v>
      </c>
      <c r="E22" s="45"/>
      <c r="J22" s="471"/>
    </row>
    <row r="23" spans="1:10" x14ac:dyDescent="0.2">
      <c r="C23" s="330"/>
      <c r="J23" s="471"/>
    </row>
    <row r="24" spans="1:10" ht="24" x14ac:dyDescent="0.2">
      <c r="C24" s="330" t="s">
        <v>353</v>
      </c>
      <c r="D24" s="104" t="s">
        <v>46</v>
      </c>
      <c r="J24" s="134" t="str">
        <f>IF(D25&gt;0, IF(D24="Yes","", "Billback percentage entered when billback was not indicated. "),"")</f>
        <v/>
      </c>
    </row>
    <row r="25" spans="1:10" ht="24" x14ac:dyDescent="0.2">
      <c r="C25" s="330" t="s">
        <v>352</v>
      </c>
      <c r="D25" s="263"/>
    </row>
    <row r="26" spans="1:10" x14ac:dyDescent="0.2">
      <c r="D26" s="110"/>
    </row>
    <row r="27" spans="1:10" ht="20" customHeight="1" x14ac:dyDescent="0.2">
      <c r="C27" s="330" t="s">
        <v>423</v>
      </c>
      <c r="D27" s="266">
        <f>IF(D24="yes",D21*(1-D25),D21)</f>
        <v>148190</v>
      </c>
    </row>
    <row r="28" spans="1:10" ht="20" customHeight="1" x14ac:dyDescent="0.2">
      <c r="C28" s="330" t="s">
        <v>424</v>
      </c>
      <c r="D28" s="265">
        <f>D22+IF(D24="yes",D21*D25,0)</f>
        <v>0</v>
      </c>
    </row>
    <row r="29" spans="1:10" ht="20" customHeight="1" x14ac:dyDescent="0.2"/>
    <row r="30" spans="1:10" ht="22.5" customHeight="1" thickBot="1" x14ac:dyDescent="0.3">
      <c r="B30" s="96" t="s">
        <v>38</v>
      </c>
      <c r="C30" s="329"/>
      <c r="D30" s="12"/>
      <c r="E30" s="12"/>
      <c r="F30" s="12"/>
      <c r="G30" s="12"/>
      <c r="H30" s="12"/>
    </row>
    <row r="31" spans="1:10" ht="22.25" customHeight="1" x14ac:dyDescent="0.2">
      <c r="B31" s="176" t="s">
        <v>201</v>
      </c>
    </row>
    <row r="32" spans="1:10" ht="23" customHeight="1" thickBot="1" x14ac:dyDescent="0.25">
      <c r="D32" s="319" t="s">
        <v>439</v>
      </c>
      <c r="E32" s="319" t="s">
        <v>385</v>
      </c>
      <c r="J32" s="138" t="s">
        <v>48</v>
      </c>
    </row>
    <row r="33" spans="2:10" ht="34.5" customHeight="1" thickTop="1" x14ac:dyDescent="0.2">
      <c r="C33" s="330" t="s">
        <v>436</v>
      </c>
      <c r="D33" s="41" t="s">
        <v>45</v>
      </c>
      <c r="E33" s="320">
        <v>0</v>
      </c>
      <c r="J33" s="443" t="str">
        <f>IF(AND('Input-Income'!D35="no",E35&gt;0),"Income entered for grants or subsidies not indicated. ","")&amp;
IF(E35="","",IF(AND('Input-Income'!D35="yes",E35=0),"Zero income entered for grants or subsidies indicated. ",""))&amp;
IF(AND(D33="No",E33&gt;0),"Income entered for RECs indicated as inapplicable. ","")&amp;
IF(COUNTIFS(D37:D42,"No",E37:E42,"&gt;0")&gt;0,"Income entered for tax credits not indicated. ","")&amp;
IF(OR(COUNTIFS(D37:D42,"Yes",E37:E42,0)&gt;0,AND(D40&lt;&gt;"No",D40&lt;&gt;"",E40&lt;&gt;"",E40=0)),"Zero income entered for tax credits indicated. ","")&amp;
IFERROR(IF(E37&gt;INDEX(chart!C25:C41,MATCH(YEAR('DB-Loans'!E2),chart!B25:B41,0))*SUM('Input-UpfrontExpenses'!F8:F14),"Reported ITC income is greater than expected from total system cost in 'Input-Upfront Expenses' tab and ITC step down schedule. ",""),"")&amp;
IFERROR(IF(E38&gt;0.1*SUM('Input-UpfrontExpenses'!F8:F14),"Reported ITC Energy Community Adder income is greater than expected from total system cost in 'Input-Upfront Expenses' tab. ",""),"")&amp;
IFERROR(IF(E39&gt;0.1*SUM('Input-UpfrontExpenses'!F8:F14),"Reported ITC Domestic Content Adder income is greater than expected from total system cost in 'Input-Upfront Expenses' tab. ",""),"")&amp;
IFERROR(IF(E40&gt;INDEX(Dropdowns!Q2:Q5, MATCH(D40, Dropdowns!P2:P5, 0))*SUM('Input-UpfrontExpenses'!F8:F14),"Reported ITC Low Income Communities Adder income is greater than expected from total system cost in 'Input-Upfront Expenses' tab. ",""),"")</f>
        <v/>
      </c>
    </row>
    <row r="34" spans="2:10" ht="10" customHeight="1" x14ac:dyDescent="0.2">
      <c r="C34" s="330"/>
      <c r="J34" s="440"/>
    </row>
    <row r="35" spans="2:10" ht="24" customHeight="1" x14ac:dyDescent="0.2">
      <c r="C35" s="330" t="s">
        <v>437</v>
      </c>
      <c r="D35" s="41" t="s">
        <v>46</v>
      </c>
      <c r="E35" s="320"/>
      <c r="J35" s="440"/>
    </row>
    <row r="36" spans="2:10" ht="10.25" customHeight="1" x14ac:dyDescent="0.2">
      <c r="J36" s="440"/>
    </row>
    <row r="37" spans="2:10" ht="23" customHeight="1" x14ac:dyDescent="0.2">
      <c r="C37" s="330" t="s">
        <v>211</v>
      </c>
      <c r="D37" s="104" t="s">
        <v>45</v>
      </c>
      <c r="E37" s="321">
        <v>761123</v>
      </c>
      <c r="J37" s="440"/>
    </row>
    <row r="38" spans="2:10" ht="23" customHeight="1" x14ac:dyDescent="0.2">
      <c r="C38" s="330" t="s">
        <v>470</v>
      </c>
      <c r="D38" s="353" t="s">
        <v>45</v>
      </c>
      <c r="E38" s="380">
        <v>253707</v>
      </c>
      <c r="J38" s="440"/>
    </row>
    <row r="39" spans="2:10" ht="23" customHeight="1" x14ac:dyDescent="0.2">
      <c r="C39" s="330" t="s">
        <v>469</v>
      </c>
      <c r="D39" s="353" t="s">
        <v>46</v>
      </c>
      <c r="E39" s="380">
        <v>0</v>
      </c>
      <c r="J39" s="440"/>
    </row>
    <row r="40" spans="2:10" ht="23" customHeight="1" x14ac:dyDescent="0.2">
      <c r="C40" s="330" t="s">
        <v>471</v>
      </c>
      <c r="D40" s="115" t="s">
        <v>46</v>
      </c>
      <c r="E40" s="380">
        <v>0</v>
      </c>
      <c r="J40" s="440"/>
    </row>
    <row r="41" spans="2:10" ht="23" customHeight="1" x14ac:dyDescent="0.2">
      <c r="C41" s="330" t="s">
        <v>196</v>
      </c>
      <c r="D41" s="106" t="s">
        <v>45</v>
      </c>
      <c r="E41" s="322">
        <v>358032</v>
      </c>
      <c r="J41" s="440"/>
    </row>
    <row r="42" spans="2:10" ht="23" customHeight="1" x14ac:dyDescent="0.2">
      <c r="C42" s="330" t="s">
        <v>203</v>
      </c>
      <c r="D42" s="108" t="s">
        <v>45</v>
      </c>
      <c r="E42" s="262">
        <v>19891</v>
      </c>
      <c r="F42" s="253" t="str">
        <f>IF(D42="yes","List other tax credits","")</f>
        <v>List other tax credits</v>
      </c>
      <c r="G42" s="433" t="s">
        <v>500</v>
      </c>
      <c r="H42" s="433"/>
      <c r="J42" s="441"/>
    </row>
    <row r="43" spans="2:10" ht="10.25" customHeight="1" x14ac:dyDescent="0.2">
      <c r="C43" s="10"/>
    </row>
    <row r="44" spans="2:10" ht="23" customHeight="1" x14ac:dyDescent="0.2">
      <c r="C44" s="330" t="s">
        <v>438</v>
      </c>
      <c r="D44" s="41" t="s">
        <v>46</v>
      </c>
      <c r="E44" s="320"/>
      <c r="F44" s="253" t="str">
        <f>IF(D44="yes","List other incentives","")</f>
        <v/>
      </c>
      <c r="G44" s="433"/>
      <c r="H44" s="433"/>
    </row>
    <row r="45" spans="2:10" ht="23" customHeight="1" x14ac:dyDescent="0.2">
      <c r="C45" s="10"/>
    </row>
    <row r="46" spans="2:10" ht="19" thickBot="1" x14ac:dyDescent="0.3">
      <c r="B46" s="96" t="s">
        <v>121</v>
      </c>
      <c r="C46" s="329"/>
      <c r="D46" s="12"/>
      <c r="E46" s="12"/>
      <c r="F46" s="12"/>
      <c r="G46" s="12"/>
      <c r="H46" s="12"/>
    </row>
    <row r="47" spans="2:10" ht="21" customHeight="1" x14ac:dyDescent="0.2">
      <c r="B47" s="476" t="s">
        <v>416</v>
      </c>
      <c r="C47" s="476"/>
      <c r="D47" s="476"/>
      <c r="E47" s="476"/>
      <c r="F47" s="476"/>
      <c r="G47" s="476"/>
      <c r="H47" s="476"/>
    </row>
    <row r="48" spans="2:10" s="33" customFormat="1" ht="9.75" customHeight="1" x14ac:dyDescent="0.2">
      <c r="C48" s="331"/>
    </row>
    <row r="49" spans="2:10" ht="25.5" customHeight="1" x14ac:dyDescent="0.2">
      <c r="C49" s="332" t="s">
        <v>415</v>
      </c>
      <c r="D49" s="111" t="s">
        <v>53</v>
      </c>
    </row>
    <row r="50" spans="2:10" ht="10.5" customHeight="1" x14ac:dyDescent="0.2">
      <c r="C50" s="10"/>
      <c r="D50" s="356"/>
    </row>
    <row r="51" spans="2:10" ht="23.25" customHeight="1" x14ac:dyDescent="0.2">
      <c r="C51" s="332" t="s">
        <v>345</v>
      </c>
      <c r="D51" s="353" t="s">
        <v>55</v>
      </c>
    </row>
    <row r="52" spans="2:10" ht="25" thickBot="1" x14ac:dyDescent="0.25">
      <c r="C52" s="330" t="s">
        <v>347</v>
      </c>
      <c r="D52" s="108">
        <v>60</v>
      </c>
      <c r="E52" s="45" t="s">
        <v>58</v>
      </c>
      <c r="J52" s="105" t="s">
        <v>48</v>
      </c>
    </row>
    <row r="53" spans="2:10" ht="10" customHeight="1" thickTop="1" x14ac:dyDescent="0.2">
      <c r="D53" s="177"/>
      <c r="J53" s="443" t="str">
        <f>IF(COUNTIF(D54:D60,"yes")&gt;0, "Further description required in HPB Report and Check Errors tab: "&amp;IF(D54="Yes","Liability for repayment of claimed credits for premature removal of system. ","")&amp;IF(D56="yes","Potential repayment or unrealization of grants or subsidies for unmet conditions. ","")&amp;IF(D58="Yes","Project funded with financing or debt other than borrower/sponsor equity. ","")&amp;IF(D60="Yes","Third party right to lien upon or security interest in facilities.",""),"")</f>
        <v/>
      </c>
    </row>
    <row r="54" spans="2:10" ht="36" customHeight="1" x14ac:dyDescent="0.2">
      <c r="C54" s="330" t="s">
        <v>346</v>
      </c>
      <c r="D54" s="139" t="s">
        <v>46</v>
      </c>
      <c r="J54" s="440"/>
    </row>
    <row r="55" spans="2:10" ht="10" customHeight="1" x14ac:dyDescent="0.2">
      <c r="J55" s="440"/>
    </row>
    <row r="56" spans="2:10" ht="24" customHeight="1" x14ac:dyDescent="0.2">
      <c r="C56" s="330" t="s">
        <v>57</v>
      </c>
      <c r="D56" s="41" t="s">
        <v>46</v>
      </c>
      <c r="J56" s="440"/>
    </row>
    <row r="57" spans="2:10" ht="10" customHeight="1" x14ac:dyDescent="0.2">
      <c r="C57" s="333"/>
      <c r="F57" s="33"/>
      <c r="J57" s="440"/>
    </row>
    <row r="58" spans="2:10" ht="36" customHeight="1" x14ac:dyDescent="0.2">
      <c r="B58" s="10" t="s">
        <v>323</v>
      </c>
      <c r="C58" s="330" t="s">
        <v>357</v>
      </c>
      <c r="D58" s="41" t="s">
        <v>46</v>
      </c>
      <c r="J58" s="440"/>
    </row>
    <row r="59" spans="2:10" ht="10" customHeight="1" x14ac:dyDescent="0.2">
      <c r="C59" s="330"/>
      <c r="D59" s="110"/>
      <c r="E59" s="110"/>
      <c r="J59" s="440"/>
    </row>
    <row r="60" spans="2:10" ht="24" customHeight="1" x14ac:dyDescent="0.2">
      <c r="C60" s="330" t="s">
        <v>60</v>
      </c>
      <c r="D60" s="41" t="s">
        <v>46</v>
      </c>
      <c r="J60" s="441"/>
    </row>
  </sheetData>
  <sheetProtection algorithmName="SHA-512" hashValue="FkkHXK07P6WNc+4DRYoHyTAi5CnGleNHJHoWXZq8xWZyA9uq4vEIieSpkP0AxILHxk7tPk0FKkoKhFdTfa2U/A==" saltValue="jjsP6gLOvBUISF8q0AfX3Q==" spinCount="100000" sheet="1" objects="1" scenarios="1"/>
  <mergeCells count="10">
    <mergeCell ref="J21:J23"/>
    <mergeCell ref="J53:J60"/>
    <mergeCell ref="D12:G12"/>
    <mergeCell ref="C16:I16"/>
    <mergeCell ref="J18:J20"/>
    <mergeCell ref="G42:H42"/>
    <mergeCell ref="D14:G14"/>
    <mergeCell ref="J33:J42"/>
    <mergeCell ref="B47:H47"/>
    <mergeCell ref="G44:H44"/>
  </mergeCells>
  <conditionalFormatting sqref="D8 D12 D37:D42">
    <cfRule type="expression" dxfId="34" priority="26">
      <formula>D8=""</formula>
    </cfRule>
  </conditionalFormatting>
  <conditionalFormatting sqref="D10">
    <cfRule type="expression" dxfId="33" priority="25">
      <formula>AND(D10="",D8="Yes")</formula>
    </cfRule>
  </conditionalFormatting>
  <conditionalFormatting sqref="D14">
    <cfRule type="expression" dxfId="32" priority="6">
      <formula>D14=""</formula>
    </cfRule>
  </conditionalFormatting>
  <conditionalFormatting sqref="D18:D19">
    <cfRule type="expression" dxfId="31" priority="24">
      <formula>D18=""</formula>
    </cfRule>
  </conditionalFormatting>
  <conditionalFormatting sqref="D21">
    <cfRule type="expression" dxfId="30" priority="20">
      <formula>AND(D21="",$D$18&lt;&gt;"")</formula>
    </cfRule>
  </conditionalFormatting>
  <conditionalFormatting sqref="D22">
    <cfRule type="expression" dxfId="29" priority="23">
      <formula>AND(D22="",$D$19&gt;0)</formula>
    </cfRule>
  </conditionalFormatting>
  <conditionalFormatting sqref="D24">
    <cfRule type="expression" dxfId="28" priority="22">
      <formula>D24=""</formula>
    </cfRule>
  </conditionalFormatting>
  <conditionalFormatting sqref="D25">
    <cfRule type="expression" dxfId="27" priority="21">
      <formula>AND(D25="", $D$24="yes")</formula>
    </cfRule>
  </conditionalFormatting>
  <conditionalFormatting sqref="D33">
    <cfRule type="expression" dxfId="26" priority="17">
      <formula>D33=""</formula>
    </cfRule>
  </conditionalFormatting>
  <conditionalFormatting sqref="D35">
    <cfRule type="expression" dxfId="25" priority="16">
      <formula>D35=""</formula>
    </cfRule>
  </conditionalFormatting>
  <conditionalFormatting sqref="D44">
    <cfRule type="expression" dxfId="24" priority="5">
      <formula>D44=""</formula>
    </cfRule>
  </conditionalFormatting>
  <conditionalFormatting sqref="D49">
    <cfRule type="expression" dxfId="23" priority="8">
      <formula>D49=""</formula>
    </cfRule>
  </conditionalFormatting>
  <conditionalFormatting sqref="D51:D52">
    <cfRule type="expression" dxfId="22" priority="12">
      <formula>D51=""</formula>
    </cfRule>
  </conditionalFormatting>
  <conditionalFormatting sqref="D54">
    <cfRule type="expression" dxfId="21" priority="11">
      <formula>D54=""</formula>
    </cfRule>
  </conditionalFormatting>
  <conditionalFormatting sqref="D56">
    <cfRule type="expression" dxfId="20" priority="13">
      <formula>D56=""</formula>
    </cfRule>
  </conditionalFormatting>
  <conditionalFormatting sqref="D58">
    <cfRule type="expression" dxfId="19" priority="10">
      <formula>D58=""</formula>
    </cfRule>
  </conditionalFormatting>
  <conditionalFormatting sqref="D60">
    <cfRule type="expression" dxfId="18" priority="9">
      <formula>D60=""</formula>
    </cfRule>
  </conditionalFormatting>
  <conditionalFormatting sqref="E33 E35 E37:E42">
    <cfRule type="expression" dxfId="17" priority="1">
      <formula>AND(E33="",D33="Yes")</formula>
    </cfRule>
  </conditionalFormatting>
  <conditionalFormatting sqref="E40">
    <cfRule type="expression" dxfId="16" priority="7">
      <formula>AND(E40="",D40&lt;&gt;"", D40&lt;&gt;"No")</formula>
    </cfRule>
  </conditionalFormatting>
  <conditionalFormatting sqref="E44">
    <cfRule type="expression" dxfId="15" priority="4">
      <formula>AND(E44="",D44="Yes")</formula>
    </cfRule>
  </conditionalFormatting>
  <conditionalFormatting sqref="G42:H42">
    <cfRule type="expression" dxfId="14" priority="99">
      <formula>$D42&lt;&gt;"yes"</formula>
    </cfRule>
    <cfRule type="expression" dxfId="13" priority="100">
      <formula>AND(G42="",D42="yes")</formula>
    </cfRule>
  </conditionalFormatting>
  <conditionalFormatting sqref="G44:H44">
    <cfRule type="expression" dxfId="12" priority="3">
      <formula>AND(G44="",D44="yes")</formula>
    </cfRule>
    <cfRule type="expression" dxfId="11" priority="2">
      <formula>$D44&lt;&gt;"yes"</formula>
    </cfRule>
  </conditionalFormatting>
  <dataValidations count="3">
    <dataValidation type="decimal" operator="greaterThanOrEqual" allowBlank="1" showInputMessage="1" showErrorMessage="1" sqref="D18:D19 D21" xr:uid="{BBAE8E53-8A34-465A-856D-C0AE715148F7}">
      <formula1>0</formula1>
    </dataValidation>
    <dataValidation type="decimal" allowBlank="1" showInputMessage="1" showErrorMessage="1" sqref="D25" xr:uid="{6E1334A7-D12A-4959-B9A1-536E33BEE15C}">
      <formula1>0</formula1>
      <formula2>1</formula2>
    </dataValidation>
    <dataValidation type="whole" operator="greaterThanOrEqual" allowBlank="1" showInputMessage="1" showErrorMessage="1" sqref="D52" xr:uid="{00000000-0002-0000-0600-000000000000}">
      <formula1>0</formula1>
    </dataValidation>
  </dataValidations>
  <pageMargins left="0.7" right="0.7" top="0.75" bottom="0.75" header="0.3" footer="0.3"/>
  <pageSetup paperSize="5" scale="84" orientation="portrait" r:id="rId1"/>
  <headerFooter>
    <oddFooter>&amp;L&amp;"Source Sans Pro,Regular"&amp;9 © 2023 Fannie Mae.Trademarks of Fannie Mae. _x000D_&amp;1#&amp;"Calibri"&amp;10&amp;K000000 Fannie Mae Confidential&amp;C&amp;"Source Sans Pro,Regular"&amp;9&amp;A&amp;R&amp;"Source Sans Pro,Regular"&amp;9 Form 4099.I -  October 2023 Solar Rewards Intake Form</oddFooter>
  </headerFooter>
  <rowBreaks count="1" manualBreakCount="1">
    <brk id="5" max="9" man="1"/>
  </rowBreaks>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9A1803E-482A-4AFA-B625-BB8FFB6A5BE3}">
          <x14:formula1>
            <xm:f>Dropdowns!$H$2:$H$5</xm:f>
          </x14:formula1>
          <xm:sqref>D10</xm:sqref>
        </x14:dataValidation>
        <x14:dataValidation type="list" allowBlank="1" showInputMessage="1" showErrorMessage="1" xr:uid="{B04D7664-FE1E-40FB-9E63-32E624C535C5}">
          <x14:formula1>
            <xm:f>Dropdowns!$D$2:$D$3</xm:f>
          </x14:formula1>
          <xm:sqref>D8 D24 D33 D35 D60 D56 D58 D44 D37:D39 D41:D42</xm:sqref>
        </x14:dataValidation>
        <x14:dataValidation type="list" allowBlank="1" showInputMessage="1" showErrorMessage="1" xr:uid="{00000000-0002-0000-0600-000004000000}">
          <x14:formula1>
            <xm:f>Dropdowns!$D$2:$D$4</xm:f>
          </x14:formula1>
          <xm:sqref>D54</xm:sqref>
        </x14:dataValidation>
        <x14:dataValidation type="list" allowBlank="1" showInputMessage="1" showErrorMessage="1" xr:uid="{00000000-0002-0000-0600-000003000000}">
          <x14:formula1>
            <xm:f>Dropdowns!$F$2:$F$4</xm:f>
          </x14:formula1>
          <xm:sqref>D51</xm:sqref>
        </x14:dataValidation>
        <x14:dataValidation type="list" allowBlank="1" showInputMessage="1" showErrorMessage="1" xr:uid="{00000000-0002-0000-0600-000002000000}">
          <x14:formula1>
            <xm:f>Dropdowns!$E$2:$E$5</xm:f>
          </x14:formula1>
          <xm:sqref>D49</xm:sqref>
        </x14:dataValidation>
        <x14:dataValidation type="list" allowBlank="1" showInputMessage="1" showErrorMessage="1" xr:uid="{94F47861-E801-BE4F-A7B1-98D55C27F3E5}">
          <x14:formula1>
            <xm:f>Dropdowns!$P$2:$P$5</xm:f>
          </x14:formula1>
          <xm:sqref>D40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autoPageBreaks="0"/>
  </sheetPr>
  <dimension ref="B1:S64"/>
  <sheetViews>
    <sheetView showGridLines="0" topLeftCell="A5" zoomScaleNormal="100" workbookViewId="0">
      <selection activeCell="F20" sqref="F20:K20"/>
    </sheetView>
  </sheetViews>
  <sheetFormatPr baseColWidth="10" defaultColWidth="8.83203125" defaultRowHeight="15" x14ac:dyDescent="0.2"/>
  <cols>
    <col min="1" max="1" width="2.5" style="10" customWidth="1"/>
    <col min="2" max="2" width="3.83203125" style="10" customWidth="1"/>
    <col min="3" max="3" width="4.5" style="10" customWidth="1"/>
    <col min="4" max="4" width="42.5" style="10" customWidth="1"/>
    <col min="5" max="5" width="15.33203125" style="10" customWidth="1"/>
    <col min="6" max="6" width="10.83203125" style="10" customWidth="1"/>
    <col min="7" max="17" width="11.5" style="10" bestFit="1" customWidth="1"/>
    <col min="18" max="18" width="4" style="10" customWidth="1"/>
    <col min="19" max="19" width="42.5" style="10" customWidth="1"/>
    <col min="20" max="16384" width="8.83203125" style="10"/>
  </cols>
  <sheetData>
    <row r="1" spans="2:19" ht="23.25" customHeight="1" x14ac:dyDescent="0.2">
      <c r="B1" s="8"/>
    </row>
    <row r="3" spans="2:19" ht="25" x14ac:dyDescent="0.3">
      <c r="B3" s="27" t="s">
        <v>426</v>
      </c>
      <c r="G3" s="9"/>
    </row>
    <row r="4" spans="2:19" ht="16.5" customHeight="1" x14ac:dyDescent="0.2">
      <c r="B4" s="28" t="s">
        <v>389</v>
      </c>
      <c r="G4" s="9"/>
    </row>
    <row r="5" spans="2:19" ht="16.5" customHeight="1" x14ac:dyDescent="0.2">
      <c r="B5" s="28"/>
      <c r="G5" s="9"/>
    </row>
    <row r="6" spans="2:19" ht="23.25" customHeight="1" thickBot="1" x14ac:dyDescent="0.3">
      <c r="B6" s="96" t="s">
        <v>111</v>
      </c>
      <c r="C6" s="12"/>
      <c r="D6" s="12"/>
      <c r="E6" s="12"/>
      <c r="F6" s="12"/>
      <c r="G6" s="12"/>
      <c r="H6" s="12"/>
      <c r="I6" s="12"/>
      <c r="J6" s="12"/>
      <c r="K6" s="12"/>
      <c r="L6" s="12"/>
      <c r="M6" s="12"/>
      <c r="N6" s="12"/>
      <c r="O6" s="12"/>
      <c r="P6" s="12"/>
      <c r="Q6" s="12"/>
    </row>
    <row r="7" spans="2:19" ht="29.25" customHeight="1" x14ac:dyDescent="0.2">
      <c r="B7" s="484" t="s">
        <v>419</v>
      </c>
      <c r="C7" s="484"/>
      <c r="D7" s="484"/>
      <c r="E7" s="484"/>
      <c r="F7" s="484"/>
      <c r="G7" s="484"/>
      <c r="H7" s="484"/>
      <c r="I7" s="484"/>
      <c r="J7" s="484"/>
      <c r="K7" s="484"/>
      <c r="L7" s="484"/>
      <c r="M7" s="484"/>
      <c r="N7" s="484"/>
      <c r="O7" s="484"/>
      <c r="P7" s="484"/>
      <c r="Q7" s="484"/>
    </row>
    <row r="8" spans="2:19" ht="15.75" customHeight="1" x14ac:dyDescent="0.2"/>
    <row r="9" spans="2:19" ht="37" thickBot="1" x14ac:dyDescent="0.25">
      <c r="C9" s="184" t="s">
        <v>173</v>
      </c>
      <c r="D9" s="185"/>
      <c r="E9" s="120" t="s">
        <v>152</v>
      </c>
      <c r="F9" s="186" t="s">
        <v>67</v>
      </c>
      <c r="G9" s="187" t="s">
        <v>68</v>
      </c>
      <c r="H9" s="187" t="s">
        <v>69</v>
      </c>
      <c r="I9" s="187" t="s">
        <v>70</v>
      </c>
      <c r="J9" s="187" t="s">
        <v>71</v>
      </c>
      <c r="K9" s="187" t="s">
        <v>72</v>
      </c>
      <c r="L9" s="187" t="s">
        <v>73</v>
      </c>
      <c r="M9" s="187" t="s">
        <v>74</v>
      </c>
      <c r="N9" s="187" t="s">
        <v>75</v>
      </c>
      <c r="O9" s="187" t="s">
        <v>76</v>
      </c>
      <c r="P9" s="187" t="s">
        <v>77</v>
      </c>
      <c r="Q9" s="187" t="s">
        <v>78</v>
      </c>
      <c r="R9" s="188"/>
      <c r="S9" s="105" t="s">
        <v>48</v>
      </c>
    </row>
    <row r="10" spans="2:19" ht="15.75" customHeight="1" thickTop="1" thickBot="1" x14ac:dyDescent="0.25">
      <c r="C10" s="189" t="s">
        <v>319</v>
      </c>
      <c r="D10" s="190"/>
      <c r="E10" s="191"/>
      <c r="F10" s="192"/>
      <c r="G10" s="193"/>
      <c r="H10" s="193"/>
      <c r="I10" s="193"/>
      <c r="J10" s="193"/>
      <c r="K10" s="193"/>
      <c r="L10" s="193"/>
      <c r="M10" s="193"/>
      <c r="N10" s="193"/>
      <c r="O10" s="193"/>
      <c r="P10" s="193"/>
      <c r="Q10" s="193"/>
      <c r="R10" s="188"/>
      <c r="S10" s="481" t="str">
        <f>IF('Input-ProForma'!E11="","",IF('Input-ProForma'!E11=0,"No annual degradation/increase factored into energy savings. ",""))</f>
        <v/>
      </c>
    </row>
    <row r="11" spans="2:19" ht="15" customHeight="1" thickTop="1" thickBot="1" x14ac:dyDescent="0.25">
      <c r="C11" s="479" t="s">
        <v>92</v>
      </c>
      <c r="D11" s="480"/>
      <c r="E11" s="194">
        <v>0.04</v>
      </c>
      <c r="F11" s="359">
        <f>'Input-Income'!D27</f>
        <v>148190</v>
      </c>
      <c r="G11" s="195">
        <f>IFERROR(F11*(1+$E11),"")</f>
        <v>154117.6</v>
      </c>
      <c r="H11" s="195">
        <f t="shared" ref="H11:P11" si="0">IFERROR(G11*(1+$E11),"")</f>
        <v>160282.304</v>
      </c>
      <c r="I11" s="195">
        <f t="shared" si="0"/>
        <v>166693.59616000002</v>
      </c>
      <c r="J11" s="195">
        <f t="shared" si="0"/>
        <v>173361.34000640002</v>
      </c>
      <c r="K11" s="195">
        <f t="shared" si="0"/>
        <v>180295.79360665602</v>
      </c>
      <c r="L11" s="195">
        <f t="shared" si="0"/>
        <v>187507.62535092226</v>
      </c>
      <c r="M11" s="195">
        <f t="shared" si="0"/>
        <v>195007.93036495915</v>
      </c>
      <c r="N11" s="195">
        <f t="shared" si="0"/>
        <v>202808.24757955753</v>
      </c>
      <c r="O11" s="195">
        <f t="shared" si="0"/>
        <v>210920.57748273984</v>
      </c>
      <c r="P11" s="195">
        <f t="shared" si="0"/>
        <v>219357.40058204945</v>
      </c>
      <c r="Q11" s="195">
        <f>IFERROR(P11*(1+$E11),"")</f>
        <v>228131.69660533144</v>
      </c>
      <c r="R11" s="188"/>
      <c r="S11" s="481"/>
    </row>
    <row r="12" spans="2:19" ht="15" customHeight="1" thickTop="1" thickBot="1" x14ac:dyDescent="0.25">
      <c r="C12" s="180" t="s">
        <v>386</v>
      </c>
      <c r="D12" s="181"/>
      <c r="E12" s="259"/>
      <c r="F12" s="323">
        <f>'Input-Income'!E35</f>
        <v>0</v>
      </c>
      <c r="G12" s="203" t="s">
        <v>115</v>
      </c>
      <c r="H12" s="203" t="s">
        <v>115</v>
      </c>
      <c r="I12" s="203" t="s">
        <v>115</v>
      </c>
      <c r="J12" s="203" t="s">
        <v>115</v>
      </c>
      <c r="K12" s="203" t="s">
        <v>115</v>
      </c>
      <c r="L12" s="203" t="s">
        <v>115</v>
      </c>
      <c r="M12" s="203" t="s">
        <v>115</v>
      </c>
      <c r="N12" s="203" t="s">
        <v>115</v>
      </c>
      <c r="O12" s="203" t="s">
        <v>115</v>
      </c>
      <c r="P12" s="203" t="s">
        <v>115</v>
      </c>
      <c r="Q12" s="203" t="s">
        <v>115</v>
      </c>
      <c r="R12" s="188"/>
      <c r="S12" s="481"/>
    </row>
    <row r="13" spans="2:19" ht="15" customHeight="1" thickTop="1" thickBot="1" x14ac:dyDescent="0.25">
      <c r="C13" s="270" t="s">
        <v>202</v>
      </c>
      <c r="D13" s="267"/>
      <c r="E13" s="260"/>
      <c r="F13" s="324">
        <f>'Input-Income'!E33</f>
        <v>0</v>
      </c>
      <c r="G13" s="242"/>
      <c r="H13" s="242"/>
      <c r="I13" s="242"/>
      <c r="J13" s="242"/>
      <c r="K13" s="242"/>
      <c r="L13" s="242"/>
      <c r="M13" s="242"/>
      <c r="N13" s="242"/>
      <c r="O13" s="242"/>
      <c r="P13" s="242"/>
      <c r="Q13" s="242"/>
      <c r="R13" s="188"/>
      <c r="S13" s="481"/>
    </row>
    <row r="14" spans="2:19" ht="15" customHeight="1" thickTop="1" thickBot="1" x14ac:dyDescent="0.25">
      <c r="C14" s="180" t="s">
        <v>153</v>
      </c>
      <c r="D14" s="181"/>
      <c r="E14" s="260"/>
      <c r="F14" s="325"/>
      <c r="G14" s="196"/>
      <c r="H14" s="196"/>
      <c r="I14" s="196"/>
      <c r="J14" s="196"/>
      <c r="K14" s="196"/>
      <c r="L14" s="196"/>
      <c r="M14" s="196"/>
      <c r="N14" s="196"/>
      <c r="O14" s="196"/>
      <c r="P14" s="196"/>
      <c r="Q14" s="196"/>
      <c r="R14" s="188"/>
      <c r="S14" s="481"/>
    </row>
    <row r="15" spans="2:19" ht="15" customHeight="1" thickTop="1" thickBot="1" x14ac:dyDescent="0.25">
      <c r="C15" s="182" t="str">
        <f>'Input-Income'!D37</f>
        <v>Yes</v>
      </c>
      <c r="D15" s="181" t="s">
        <v>211</v>
      </c>
      <c r="E15" s="259"/>
      <c r="F15" s="323">
        <f>'Input-Income'!E37</f>
        <v>761123</v>
      </c>
      <c r="G15" s="242">
        <v>0</v>
      </c>
      <c r="H15" s="242">
        <v>0</v>
      </c>
      <c r="I15" s="242">
        <v>0</v>
      </c>
      <c r="J15" s="242">
        <v>0</v>
      </c>
      <c r="K15" s="242">
        <v>0</v>
      </c>
      <c r="L15" s="242">
        <v>0</v>
      </c>
      <c r="M15" s="242">
        <v>0</v>
      </c>
      <c r="N15" s="242">
        <v>0</v>
      </c>
      <c r="O15" s="242">
        <v>0</v>
      </c>
      <c r="P15" s="242">
        <v>0</v>
      </c>
      <c r="Q15" s="242">
        <v>0</v>
      </c>
      <c r="R15" s="188"/>
      <c r="S15" s="481"/>
    </row>
    <row r="16" spans="2:19" ht="15" customHeight="1" thickTop="1" thickBot="1" x14ac:dyDescent="0.25">
      <c r="C16" s="182"/>
      <c r="D16" s="181" t="s">
        <v>470</v>
      </c>
      <c r="E16" s="260"/>
      <c r="F16" s="323">
        <f>'Input-Income'!E38</f>
        <v>253707</v>
      </c>
      <c r="G16" s="242">
        <v>0</v>
      </c>
      <c r="H16" s="242">
        <v>0</v>
      </c>
      <c r="I16" s="242">
        <v>0</v>
      </c>
      <c r="J16" s="242">
        <v>0</v>
      </c>
      <c r="K16" s="242">
        <v>0</v>
      </c>
      <c r="L16" s="242">
        <v>0</v>
      </c>
      <c r="M16" s="242">
        <v>0</v>
      </c>
      <c r="N16" s="242">
        <v>0</v>
      </c>
      <c r="O16" s="242">
        <v>0</v>
      </c>
      <c r="P16" s="242">
        <v>0</v>
      </c>
      <c r="Q16" s="242">
        <v>0</v>
      </c>
      <c r="R16" s="188"/>
      <c r="S16" s="481"/>
    </row>
    <row r="17" spans="3:19" ht="15" customHeight="1" thickTop="1" thickBot="1" x14ac:dyDescent="0.25">
      <c r="C17" s="182"/>
      <c r="D17" s="181" t="s">
        <v>469</v>
      </c>
      <c r="E17" s="260"/>
      <c r="F17" s="323">
        <f>'Input-Income'!E39</f>
        <v>0</v>
      </c>
      <c r="G17" s="242"/>
      <c r="H17" s="242"/>
      <c r="I17" s="242"/>
      <c r="J17" s="242"/>
      <c r="K17" s="242"/>
      <c r="L17" s="242"/>
      <c r="M17" s="242"/>
      <c r="N17" s="242"/>
      <c r="O17" s="242"/>
      <c r="P17" s="242"/>
      <c r="Q17" s="242"/>
      <c r="R17" s="188"/>
      <c r="S17" s="481"/>
    </row>
    <row r="18" spans="3:19" ht="15" customHeight="1" thickTop="1" thickBot="1" x14ac:dyDescent="0.25">
      <c r="C18" s="182"/>
      <c r="D18" s="181" t="s">
        <v>471</v>
      </c>
      <c r="E18" s="260"/>
      <c r="F18" s="323">
        <f>'Input-Income'!E40</f>
        <v>0</v>
      </c>
      <c r="G18" s="242"/>
      <c r="H18" s="242"/>
      <c r="I18" s="242"/>
      <c r="J18" s="242"/>
      <c r="K18" s="242"/>
      <c r="L18" s="242"/>
      <c r="M18" s="242"/>
      <c r="N18" s="242"/>
      <c r="O18" s="242"/>
      <c r="P18" s="242"/>
      <c r="Q18" s="242"/>
      <c r="R18" s="188"/>
      <c r="S18" s="481"/>
    </row>
    <row r="19" spans="3:19" ht="15" customHeight="1" thickTop="1" thickBot="1" x14ac:dyDescent="0.25">
      <c r="C19" s="182" t="str">
        <f>'Input-Income'!D41</f>
        <v>Yes</v>
      </c>
      <c r="D19" s="181" t="s">
        <v>196</v>
      </c>
      <c r="E19" s="260"/>
      <c r="F19" s="323">
        <f>'Input-Income'!E41</f>
        <v>358032</v>
      </c>
      <c r="G19" s="242">
        <v>27297</v>
      </c>
      <c r="H19" s="242">
        <v>16367</v>
      </c>
      <c r="I19" s="242">
        <v>9820</v>
      </c>
      <c r="J19" s="242">
        <v>9820</v>
      </c>
      <c r="K19" s="242">
        <v>4910</v>
      </c>
      <c r="L19" s="203" t="s">
        <v>115</v>
      </c>
      <c r="M19" s="203" t="s">
        <v>115</v>
      </c>
      <c r="N19" s="203" t="s">
        <v>115</v>
      </c>
      <c r="O19" s="203" t="s">
        <v>115</v>
      </c>
      <c r="P19" s="203" t="s">
        <v>115</v>
      </c>
      <c r="Q19" s="203" t="s">
        <v>115</v>
      </c>
      <c r="R19" s="188"/>
      <c r="S19" s="481"/>
    </row>
    <row r="20" spans="3:19" ht="15" customHeight="1" thickTop="1" thickBot="1" x14ac:dyDescent="0.25">
      <c r="C20" s="182" t="str">
        <f>'Input-Income'!D42</f>
        <v>Yes</v>
      </c>
      <c r="D20" s="181" t="s">
        <v>203</v>
      </c>
      <c r="E20" s="259"/>
      <c r="F20" s="205">
        <f>'Input-Income'!E42</f>
        <v>19891</v>
      </c>
      <c r="G20" s="242">
        <v>31825</v>
      </c>
      <c r="H20" s="242">
        <v>19095</v>
      </c>
      <c r="I20" s="242">
        <v>11457</v>
      </c>
      <c r="J20" s="242">
        <v>11457</v>
      </c>
      <c r="K20" s="242">
        <v>5729</v>
      </c>
      <c r="L20" s="242">
        <v>0</v>
      </c>
      <c r="M20" s="242">
        <v>0</v>
      </c>
      <c r="N20" s="242">
        <v>0</v>
      </c>
      <c r="O20" s="242">
        <v>0</v>
      </c>
      <c r="P20" s="242">
        <v>0</v>
      </c>
      <c r="Q20" s="242">
        <v>0</v>
      </c>
      <c r="R20" s="188"/>
      <c r="S20" s="481"/>
    </row>
    <row r="21" spans="3:19" ht="15" customHeight="1" thickTop="1" thickBot="1" x14ac:dyDescent="0.25">
      <c r="C21" s="375" t="s">
        <v>440</v>
      </c>
      <c r="D21" s="198"/>
      <c r="E21" s="261"/>
      <c r="F21" s="210">
        <f>'Input-Income'!E44</f>
        <v>0</v>
      </c>
      <c r="G21" s="256"/>
      <c r="H21" s="381"/>
      <c r="I21" s="381"/>
      <c r="J21" s="381"/>
      <c r="K21" s="381"/>
      <c r="L21" s="381"/>
      <c r="M21" s="381"/>
      <c r="N21" s="381"/>
      <c r="O21" s="381"/>
      <c r="P21" s="381"/>
      <c r="Q21" s="382"/>
      <c r="R21" s="188"/>
      <c r="S21" s="482"/>
    </row>
    <row r="22" spans="3:19" ht="15.75" customHeight="1" thickTop="1" thickBot="1" x14ac:dyDescent="0.25">
      <c r="C22" s="197" t="s">
        <v>320</v>
      </c>
      <c r="D22" s="198"/>
      <c r="E22" s="244"/>
      <c r="F22" s="243"/>
      <c r="G22" s="199"/>
      <c r="H22" s="199"/>
      <c r="I22" s="199"/>
      <c r="J22" s="199"/>
      <c r="K22" s="199"/>
      <c r="L22" s="199"/>
      <c r="M22" s="199"/>
      <c r="N22" s="199"/>
      <c r="O22" s="199"/>
      <c r="P22" s="199"/>
      <c r="Q22" s="200"/>
      <c r="R22" s="188"/>
      <c r="S22" s="483"/>
    </row>
    <row r="23" spans="3:19" ht="15" customHeight="1" thickTop="1" x14ac:dyDescent="0.2">
      <c r="C23" s="178" t="s">
        <v>108</v>
      </c>
      <c r="D23" s="179"/>
      <c r="E23" s="201"/>
      <c r="F23" s="202">
        <f>-ABS(SUM('Input-UpfrontExpenses'!F8:F14))</f>
        <v>-2537077</v>
      </c>
      <c r="G23" s="203" t="s">
        <v>115</v>
      </c>
      <c r="H23" s="203" t="s">
        <v>115</v>
      </c>
      <c r="I23" s="203" t="s">
        <v>115</v>
      </c>
      <c r="J23" s="203" t="s">
        <v>115</v>
      </c>
      <c r="K23" s="203" t="s">
        <v>115</v>
      </c>
      <c r="L23" s="203" t="s">
        <v>115</v>
      </c>
      <c r="M23" s="203" t="s">
        <v>115</v>
      </c>
      <c r="N23" s="203" t="s">
        <v>115</v>
      </c>
      <c r="O23" s="203" t="s">
        <v>115</v>
      </c>
      <c r="P23" s="203" t="s">
        <v>115</v>
      </c>
      <c r="Q23" s="203" t="s">
        <v>115</v>
      </c>
      <c r="R23" s="188"/>
      <c r="S23" s="471" t="str">
        <f>IF(COUNTIF(E26:E28,"")&gt;0,"",IF(COUNTIF(E26:E28,0)&gt;0,"Annual cost increase not factored into one or more lifetime costs. ",""))</f>
        <v xml:space="preserve">Annual cost increase not factored into one or more lifetime costs. </v>
      </c>
    </row>
    <row r="24" spans="3:19" ht="15" customHeight="1" x14ac:dyDescent="0.2">
      <c r="C24" s="180" t="s">
        <v>148</v>
      </c>
      <c r="D24" s="179"/>
      <c r="E24" s="201"/>
      <c r="F24" s="202">
        <f>-ABS(SUM('Input-UpfrontExpenses'!F16:F22))</f>
        <v>-282000</v>
      </c>
      <c r="G24" s="203" t="s">
        <v>115</v>
      </c>
      <c r="H24" s="203" t="s">
        <v>115</v>
      </c>
      <c r="I24" s="203" t="s">
        <v>115</v>
      </c>
      <c r="J24" s="203" t="s">
        <v>115</v>
      </c>
      <c r="K24" s="203" t="s">
        <v>115</v>
      </c>
      <c r="L24" s="203" t="s">
        <v>115</v>
      </c>
      <c r="M24" s="203" t="s">
        <v>115</v>
      </c>
      <c r="N24" s="203" t="s">
        <v>115</v>
      </c>
      <c r="O24" s="203" t="s">
        <v>115</v>
      </c>
      <c r="P24" s="203" t="s">
        <v>115</v>
      </c>
      <c r="Q24" s="203" t="s">
        <v>115</v>
      </c>
      <c r="R24" s="188"/>
      <c r="S24" s="471"/>
    </row>
    <row r="25" spans="3:19" ht="15" customHeight="1" x14ac:dyDescent="0.2">
      <c r="C25" s="180" t="s">
        <v>93</v>
      </c>
      <c r="D25" s="181"/>
      <c r="E25" s="204"/>
      <c r="F25" s="205">
        <f>-ABS(SUM('Input-UpfrontExpenses'!F24:F26))</f>
        <v>0</v>
      </c>
      <c r="G25" s="206" t="s">
        <v>115</v>
      </c>
      <c r="H25" s="206" t="s">
        <v>115</v>
      </c>
      <c r="I25" s="206" t="s">
        <v>115</v>
      </c>
      <c r="J25" s="206" t="s">
        <v>115</v>
      </c>
      <c r="K25" s="206" t="s">
        <v>115</v>
      </c>
      <c r="L25" s="206" t="s">
        <v>115</v>
      </c>
      <c r="M25" s="206" t="s">
        <v>115</v>
      </c>
      <c r="N25" s="206" t="s">
        <v>115</v>
      </c>
      <c r="O25" s="206" t="s">
        <v>115</v>
      </c>
      <c r="P25" s="206" t="s">
        <v>115</v>
      </c>
      <c r="Q25" s="206" t="s">
        <v>115</v>
      </c>
      <c r="R25" s="188"/>
      <c r="S25" s="471"/>
    </row>
    <row r="26" spans="3:19" ht="15" customHeight="1" x14ac:dyDescent="0.2">
      <c r="C26" s="180" t="s">
        <v>94</v>
      </c>
      <c r="D26" s="181"/>
      <c r="E26" s="207">
        <v>0</v>
      </c>
      <c r="F26" s="205">
        <f>-ABS(SUM('Input-UpfrontExpenses'!F28:F29))</f>
        <v>0</v>
      </c>
      <c r="G26" s="208">
        <f t="shared" ref="G26:Q26" si="1">IFERROR(F26*(1+$E26),"")</f>
        <v>0</v>
      </c>
      <c r="H26" s="208">
        <f t="shared" si="1"/>
        <v>0</v>
      </c>
      <c r="I26" s="208">
        <f t="shared" si="1"/>
        <v>0</v>
      </c>
      <c r="J26" s="208">
        <f t="shared" si="1"/>
        <v>0</v>
      </c>
      <c r="K26" s="208">
        <f t="shared" si="1"/>
        <v>0</v>
      </c>
      <c r="L26" s="208">
        <f t="shared" si="1"/>
        <v>0</v>
      </c>
      <c r="M26" s="208">
        <f t="shared" si="1"/>
        <v>0</v>
      </c>
      <c r="N26" s="208">
        <f t="shared" si="1"/>
        <v>0</v>
      </c>
      <c r="O26" s="208">
        <f t="shared" si="1"/>
        <v>0</v>
      </c>
      <c r="P26" s="208">
        <f t="shared" si="1"/>
        <v>0</v>
      </c>
      <c r="Q26" s="208">
        <f t="shared" si="1"/>
        <v>0</v>
      </c>
      <c r="R26" s="188"/>
      <c r="S26" s="471"/>
    </row>
    <row r="27" spans="3:19" ht="15" customHeight="1" x14ac:dyDescent="0.2">
      <c r="C27" s="183" t="s">
        <v>97</v>
      </c>
      <c r="D27" s="181"/>
      <c r="E27" s="207">
        <v>0.03</v>
      </c>
      <c r="F27" s="205">
        <f>-ABS('Input-UpfrontExpenses'!F31)</f>
        <v>-80000</v>
      </c>
      <c r="G27" s="208">
        <f t="shared" ref="G27:Q27" si="2">IFERROR(F27*(1+$E27),"")</f>
        <v>-82400</v>
      </c>
      <c r="H27" s="208">
        <f t="shared" si="2"/>
        <v>-84872</v>
      </c>
      <c r="I27" s="208">
        <f t="shared" si="2"/>
        <v>-87418.16</v>
      </c>
      <c r="J27" s="208">
        <f t="shared" si="2"/>
        <v>-90040.704800000007</v>
      </c>
      <c r="K27" s="208">
        <f t="shared" si="2"/>
        <v>-92741.925944000002</v>
      </c>
      <c r="L27" s="208">
        <f t="shared" si="2"/>
        <v>-95524.183722319998</v>
      </c>
      <c r="M27" s="208">
        <f t="shared" si="2"/>
        <v>-98389.909233989601</v>
      </c>
      <c r="N27" s="208">
        <f t="shared" si="2"/>
        <v>-101341.60651100929</v>
      </c>
      <c r="O27" s="208">
        <f t="shared" si="2"/>
        <v>-104381.85470633957</v>
      </c>
      <c r="P27" s="208">
        <f t="shared" si="2"/>
        <v>-107513.31034752975</v>
      </c>
      <c r="Q27" s="208">
        <f t="shared" si="2"/>
        <v>-110738.70965795565</v>
      </c>
      <c r="R27" s="188"/>
      <c r="S27" s="471"/>
    </row>
    <row r="28" spans="3:19" ht="15" customHeight="1" x14ac:dyDescent="0.2">
      <c r="C28" s="180" t="s">
        <v>96</v>
      </c>
      <c r="D28" s="181"/>
      <c r="E28" s="207">
        <v>0</v>
      </c>
      <c r="F28" s="205">
        <f>-ABS('Input-UpfrontExpenses'!F33)</f>
        <v>0</v>
      </c>
      <c r="G28" s="208">
        <f t="shared" ref="G28:Q28" si="3">IFERROR(F28*(1+$E28),"")</f>
        <v>0</v>
      </c>
      <c r="H28" s="208">
        <f t="shared" si="3"/>
        <v>0</v>
      </c>
      <c r="I28" s="208">
        <f t="shared" si="3"/>
        <v>0</v>
      </c>
      <c r="J28" s="208">
        <f t="shared" si="3"/>
        <v>0</v>
      </c>
      <c r="K28" s="208">
        <f t="shared" si="3"/>
        <v>0</v>
      </c>
      <c r="L28" s="208">
        <f t="shared" si="3"/>
        <v>0</v>
      </c>
      <c r="M28" s="208">
        <f t="shared" si="3"/>
        <v>0</v>
      </c>
      <c r="N28" s="208">
        <f t="shared" si="3"/>
        <v>0</v>
      </c>
      <c r="O28" s="208">
        <f t="shared" si="3"/>
        <v>0</v>
      </c>
      <c r="P28" s="208">
        <f t="shared" si="3"/>
        <v>0</v>
      </c>
      <c r="Q28" s="208">
        <f t="shared" si="3"/>
        <v>0</v>
      </c>
      <c r="R28" s="188"/>
      <c r="S28" s="471"/>
    </row>
    <row r="29" spans="3:19" ht="15" customHeight="1" x14ac:dyDescent="0.2">
      <c r="C29" s="180" t="s">
        <v>348</v>
      </c>
      <c r="D29" s="181"/>
      <c r="E29" s="204"/>
      <c r="F29" s="205">
        <f>-ABS('Input-UpfrontExpenses'!F34)</f>
        <v>0</v>
      </c>
      <c r="G29" s="367"/>
      <c r="H29" s="367"/>
      <c r="I29" s="367"/>
      <c r="J29" s="367"/>
      <c r="K29" s="367"/>
      <c r="L29" s="367"/>
      <c r="M29" s="367"/>
      <c r="N29" s="367"/>
      <c r="O29" s="367">
        <v>-40000</v>
      </c>
      <c r="P29" s="367"/>
      <c r="Q29" s="368">
        <v>-40000</v>
      </c>
      <c r="R29" s="188"/>
      <c r="S29" s="471"/>
    </row>
    <row r="30" spans="3:19" ht="15" customHeight="1" thickBot="1" x14ac:dyDescent="0.25">
      <c r="C30" s="209" t="s">
        <v>425</v>
      </c>
      <c r="D30" s="227"/>
      <c r="E30" s="370"/>
      <c r="F30" s="210">
        <f>-ABS('Input-UpfrontExpenses'!F35)</f>
        <v>0</v>
      </c>
      <c r="G30" s="256"/>
      <c r="H30" s="256"/>
      <c r="I30" s="256"/>
      <c r="J30" s="256"/>
      <c r="K30" s="256"/>
      <c r="L30" s="256"/>
      <c r="M30" s="256"/>
      <c r="N30" s="256"/>
      <c r="O30" s="256"/>
      <c r="P30" s="256"/>
      <c r="Q30" s="369"/>
      <c r="R30" s="188"/>
      <c r="S30" s="432"/>
    </row>
    <row r="31" spans="3:19" s="33" customFormat="1" ht="15.75" customHeight="1" thickTop="1" x14ac:dyDescent="0.2">
      <c r="C31" s="211" t="s">
        <v>98</v>
      </c>
      <c r="D31" s="212"/>
      <c r="E31" s="366" t="s">
        <v>164</v>
      </c>
      <c r="F31" s="213">
        <f>SUM(F11:F21)-ABS(SUM(F23:F30))</f>
        <v>-1358134</v>
      </c>
      <c r="G31" s="214">
        <f>SUM(G11:G21)-ABS(SUM(G23:G30))</f>
        <v>130839.6</v>
      </c>
      <c r="H31" s="214">
        <f t="shared" ref="H31:P31" si="4">SUM(H11:H21)-ABS(SUM(H23:H30))</f>
        <v>110872.304</v>
      </c>
      <c r="I31" s="214">
        <f t="shared" si="4"/>
        <v>100552.43616000001</v>
      </c>
      <c r="J31" s="214">
        <f t="shared" si="4"/>
        <v>104597.63520640001</v>
      </c>
      <c r="K31" s="214">
        <f t="shared" si="4"/>
        <v>98192.867662656019</v>
      </c>
      <c r="L31" s="214">
        <f t="shared" si="4"/>
        <v>91983.441628602261</v>
      </c>
      <c r="M31" s="214">
        <f t="shared" si="4"/>
        <v>96618.021130969544</v>
      </c>
      <c r="N31" s="214">
        <f t="shared" si="4"/>
        <v>101466.64106854824</v>
      </c>
      <c r="O31" s="214">
        <f t="shared" si="4"/>
        <v>66538.722776400275</v>
      </c>
      <c r="P31" s="214">
        <f t="shared" si="4"/>
        <v>111844.0902345197</v>
      </c>
      <c r="Q31" s="214">
        <f>SUM(Q11:Q21)-ABS(SUM(Q23:Q30))</f>
        <v>77392.986947375786</v>
      </c>
      <c r="R31" s="215"/>
      <c r="S31" s="478"/>
    </row>
    <row r="32" spans="3:19" ht="21" customHeight="1" x14ac:dyDescent="0.2">
      <c r="C32" s="216"/>
      <c r="D32" s="217"/>
    </row>
    <row r="33" spans="3:18" ht="42" customHeight="1" thickBot="1" x14ac:dyDescent="0.25">
      <c r="C33" s="184" t="s">
        <v>172</v>
      </c>
      <c r="D33" s="218"/>
      <c r="E33" s="186" t="s">
        <v>79</v>
      </c>
      <c r="F33" s="187" t="s">
        <v>80</v>
      </c>
      <c r="G33" s="187" t="s">
        <v>81</v>
      </c>
      <c r="H33" s="187" t="s">
        <v>82</v>
      </c>
      <c r="I33" s="187" t="s">
        <v>83</v>
      </c>
      <c r="J33" s="187" t="s">
        <v>84</v>
      </c>
      <c r="K33" s="187" t="s">
        <v>85</v>
      </c>
      <c r="L33" s="187" t="s">
        <v>86</v>
      </c>
      <c r="M33" s="187" t="s">
        <v>87</v>
      </c>
      <c r="N33" s="187" t="s">
        <v>88</v>
      </c>
      <c r="O33" s="187" t="s">
        <v>89</v>
      </c>
      <c r="P33" s="187" t="s">
        <v>90</v>
      </c>
      <c r="Q33" s="219" t="s">
        <v>91</v>
      </c>
      <c r="R33" s="188"/>
    </row>
    <row r="34" spans="3:18" ht="15.75" customHeight="1" thickTop="1" thickBot="1" x14ac:dyDescent="0.25">
      <c r="C34" s="220" t="s">
        <v>319</v>
      </c>
      <c r="D34" s="221"/>
      <c r="E34" s="192"/>
      <c r="F34" s="193"/>
      <c r="G34" s="193"/>
      <c r="H34" s="193"/>
      <c r="I34" s="193"/>
      <c r="J34" s="193"/>
      <c r="K34" s="193"/>
      <c r="L34" s="193"/>
      <c r="M34" s="193"/>
      <c r="N34" s="193"/>
      <c r="O34" s="193"/>
      <c r="P34" s="193"/>
      <c r="Q34" s="222"/>
      <c r="R34" s="188"/>
    </row>
    <row r="35" spans="3:18" ht="15" customHeight="1" thickTop="1" x14ac:dyDescent="0.2">
      <c r="C35" s="178" t="s">
        <v>92</v>
      </c>
      <c r="D35" s="223"/>
      <c r="E35" s="224">
        <f>IFERROR(Q11*(1+$E11),"")</f>
        <v>237256.96446954471</v>
      </c>
      <c r="F35" s="225">
        <f t="shared" ref="F35:Q35" si="5">IFERROR(E35*(1+$E11),"")</f>
        <v>246747.24304832649</v>
      </c>
      <c r="G35" s="225">
        <f t="shared" si="5"/>
        <v>256617.13277025957</v>
      </c>
      <c r="H35" s="225">
        <f t="shared" si="5"/>
        <v>266881.81808106997</v>
      </c>
      <c r="I35" s="225">
        <f t="shared" si="5"/>
        <v>277557.09080431279</v>
      </c>
      <c r="J35" s="225">
        <f t="shared" si="5"/>
        <v>288659.37443648529</v>
      </c>
      <c r="K35" s="225">
        <f t="shared" si="5"/>
        <v>300205.74941394472</v>
      </c>
      <c r="L35" s="225">
        <f t="shared" si="5"/>
        <v>312213.9793905025</v>
      </c>
      <c r="M35" s="225">
        <f t="shared" si="5"/>
        <v>324702.53856612259</v>
      </c>
      <c r="N35" s="225">
        <f t="shared" si="5"/>
        <v>337690.64010876749</v>
      </c>
      <c r="O35" s="225">
        <f t="shared" si="5"/>
        <v>351198.26571311819</v>
      </c>
      <c r="P35" s="225">
        <f t="shared" si="5"/>
        <v>365246.19634164294</v>
      </c>
      <c r="Q35" s="225">
        <f t="shared" si="5"/>
        <v>379856.04419530864</v>
      </c>
      <c r="R35" s="188"/>
    </row>
    <row r="36" spans="3:18" ht="15" customHeight="1" thickBot="1" x14ac:dyDescent="0.25">
      <c r="C36" s="270" t="s">
        <v>435</v>
      </c>
      <c r="D36" s="269"/>
      <c r="E36" s="271"/>
      <c r="F36" s="271"/>
      <c r="G36" s="271"/>
      <c r="H36" s="271"/>
      <c r="I36" s="271"/>
      <c r="J36" s="271"/>
      <c r="K36" s="271"/>
      <c r="L36" s="271"/>
      <c r="M36" s="271"/>
      <c r="N36" s="271"/>
      <c r="O36" s="271"/>
      <c r="P36" s="271"/>
      <c r="Q36" s="271"/>
      <c r="R36" s="188"/>
    </row>
    <row r="37" spans="3:18" ht="15.75" customHeight="1" thickTop="1" thickBot="1" x14ac:dyDescent="0.25">
      <c r="C37" s="228" t="s">
        <v>320</v>
      </c>
      <c r="D37" s="229"/>
      <c r="E37" s="230"/>
      <c r="F37" s="231"/>
      <c r="G37" s="231"/>
      <c r="H37" s="231"/>
      <c r="I37" s="231"/>
      <c r="J37" s="231"/>
      <c r="K37" s="231"/>
      <c r="L37" s="231"/>
      <c r="M37" s="231"/>
      <c r="N37" s="231"/>
      <c r="O37" s="231"/>
      <c r="P37" s="231"/>
      <c r="Q37" s="232"/>
      <c r="R37" s="188"/>
    </row>
    <row r="38" spans="3:18" ht="15" customHeight="1" thickTop="1" x14ac:dyDescent="0.2">
      <c r="C38" s="178" t="s">
        <v>94</v>
      </c>
      <c r="D38" s="223"/>
      <c r="E38" s="202">
        <f>IFERROR(Q26*(1+$E26),"")</f>
        <v>0</v>
      </c>
      <c r="F38" s="233">
        <f t="shared" ref="F38:Q38" si="6">IFERROR(E38*(1+$E26),"")</f>
        <v>0</v>
      </c>
      <c r="G38" s="233">
        <f t="shared" si="6"/>
        <v>0</v>
      </c>
      <c r="H38" s="233">
        <f t="shared" si="6"/>
        <v>0</v>
      </c>
      <c r="I38" s="233">
        <f t="shared" si="6"/>
        <v>0</v>
      </c>
      <c r="J38" s="233">
        <f t="shared" si="6"/>
        <v>0</v>
      </c>
      <c r="K38" s="233">
        <f t="shared" si="6"/>
        <v>0</v>
      </c>
      <c r="L38" s="233">
        <f t="shared" si="6"/>
        <v>0</v>
      </c>
      <c r="M38" s="233">
        <f t="shared" si="6"/>
        <v>0</v>
      </c>
      <c r="N38" s="233">
        <f t="shared" si="6"/>
        <v>0</v>
      </c>
      <c r="O38" s="233">
        <f t="shared" si="6"/>
        <v>0</v>
      </c>
      <c r="P38" s="233">
        <f t="shared" si="6"/>
        <v>0</v>
      </c>
      <c r="Q38" s="233">
        <f t="shared" si="6"/>
        <v>0</v>
      </c>
      <c r="R38" s="188"/>
    </row>
    <row r="39" spans="3:18" ht="15" customHeight="1" x14ac:dyDescent="0.2">
      <c r="C39" s="180" t="s">
        <v>97</v>
      </c>
      <c r="D39" s="226"/>
      <c r="E39" s="205">
        <f>IFERROR(Q27*(1+$E27),"")</f>
        <v>-114060.87094769432</v>
      </c>
      <c r="F39" s="208">
        <f t="shared" ref="F39:Q39" si="7">IFERROR(E39*(1+$E27),"")</f>
        <v>-117482.69707612516</v>
      </c>
      <c r="G39" s="208">
        <f t="shared" si="7"/>
        <v>-121007.17798840892</v>
      </c>
      <c r="H39" s="208">
        <f t="shared" si="7"/>
        <v>-124637.3933280612</v>
      </c>
      <c r="I39" s="208">
        <f t="shared" si="7"/>
        <v>-128376.51512790304</v>
      </c>
      <c r="J39" s="208">
        <f t="shared" si="7"/>
        <v>-132227.81058174014</v>
      </c>
      <c r="K39" s="208">
        <f t="shared" si="7"/>
        <v>-136194.64489919235</v>
      </c>
      <c r="L39" s="208">
        <f t="shared" si="7"/>
        <v>-140280.48424616814</v>
      </c>
      <c r="M39" s="208">
        <f t="shared" si="7"/>
        <v>-144488.8987735532</v>
      </c>
      <c r="N39" s="208">
        <f t="shared" si="7"/>
        <v>-148823.5657367598</v>
      </c>
      <c r="O39" s="208">
        <f t="shared" si="7"/>
        <v>-153288.27270886261</v>
      </c>
      <c r="P39" s="208">
        <f t="shared" si="7"/>
        <v>-157886.9208901285</v>
      </c>
      <c r="Q39" s="208">
        <f t="shared" si="7"/>
        <v>-162623.52851683236</v>
      </c>
      <c r="R39" s="188"/>
    </row>
    <row r="40" spans="3:18" x14ac:dyDescent="0.2">
      <c r="C40" s="180" t="s">
        <v>96</v>
      </c>
      <c r="D40" s="226"/>
      <c r="E40" s="205">
        <f>IFERROR(Q28*(1+$E28),"")</f>
        <v>0</v>
      </c>
      <c r="F40" s="208">
        <f t="shared" ref="F40:Q40" si="8">IFERROR(E40*(1+$E28),"")</f>
        <v>0</v>
      </c>
      <c r="G40" s="208">
        <f t="shared" si="8"/>
        <v>0</v>
      </c>
      <c r="H40" s="208">
        <f t="shared" si="8"/>
        <v>0</v>
      </c>
      <c r="I40" s="208">
        <f t="shared" si="8"/>
        <v>0</v>
      </c>
      <c r="J40" s="208">
        <f t="shared" si="8"/>
        <v>0</v>
      </c>
      <c r="K40" s="208">
        <f t="shared" si="8"/>
        <v>0</v>
      </c>
      <c r="L40" s="208">
        <f t="shared" si="8"/>
        <v>0</v>
      </c>
      <c r="M40" s="208">
        <f t="shared" si="8"/>
        <v>0</v>
      </c>
      <c r="N40" s="208">
        <f t="shared" si="8"/>
        <v>0</v>
      </c>
      <c r="O40" s="208">
        <f t="shared" si="8"/>
        <v>0</v>
      </c>
      <c r="P40" s="208">
        <f t="shared" si="8"/>
        <v>0</v>
      </c>
      <c r="Q40" s="208">
        <f t="shared" si="8"/>
        <v>0</v>
      </c>
      <c r="R40" s="188"/>
    </row>
    <row r="41" spans="3:18" x14ac:dyDescent="0.2">
      <c r="C41" s="180" t="s">
        <v>348</v>
      </c>
      <c r="D41" s="226"/>
      <c r="E41" s="371"/>
      <c r="F41" s="367"/>
      <c r="G41" s="367"/>
      <c r="H41" s="367"/>
      <c r="I41" s="367"/>
      <c r="J41" s="367"/>
      <c r="K41" s="367"/>
      <c r="L41" s="367"/>
      <c r="M41" s="367"/>
      <c r="N41" s="367"/>
      <c r="O41" s="367"/>
      <c r="P41" s="367"/>
      <c r="Q41" s="368"/>
      <c r="R41" s="188"/>
    </row>
    <row r="42" spans="3:18" ht="16" thickBot="1" x14ac:dyDescent="0.25">
      <c r="C42" s="209" t="s">
        <v>425</v>
      </c>
      <c r="D42" s="227"/>
      <c r="E42" s="255"/>
      <c r="F42" s="256"/>
      <c r="G42" s="256"/>
      <c r="H42" s="256"/>
      <c r="I42" s="256"/>
      <c r="J42" s="256"/>
      <c r="K42" s="256"/>
      <c r="L42" s="256"/>
      <c r="M42" s="256"/>
      <c r="N42" s="256"/>
      <c r="O42" s="256"/>
      <c r="P42" s="256"/>
      <c r="Q42" s="369"/>
      <c r="R42" s="188"/>
    </row>
    <row r="43" spans="3:18" s="33" customFormat="1" ht="15.75" customHeight="1" thickTop="1" x14ac:dyDescent="0.2">
      <c r="C43" s="211" t="s">
        <v>98</v>
      </c>
      <c r="D43" s="234"/>
      <c r="E43" s="213">
        <f t="shared" ref="E43:Q43" si="9">SUM(E35:E36)-ABS(SUM(E38:E42))</f>
        <v>123196.09352185039</v>
      </c>
      <c r="F43" s="214">
        <f t="shared" si="9"/>
        <v>129264.54597220133</v>
      </c>
      <c r="G43" s="214">
        <f t="shared" si="9"/>
        <v>135609.95478185065</v>
      </c>
      <c r="H43" s="214">
        <f t="shared" si="9"/>
        <v>142244.42475300876</v>
      </c>
      <c r="I43" s="214">
        <f t="shared" si="9"/>
        <v>149180.57567640976</v>
      </c>
      <c r="J43" s="214">
        <f t="shared" si="9"/>
        <v>156431.56385474515</v>
      </c>
      <c r="K43" s="214">
        <f t="shared" si="9"/>
        <v>164011.10451475237</v>
      </c>
      <c r="L43" s="214">
        <f t="shared" si="9"/>
        <v>171933.49514433436</v>
      </c>
      <c r="M43" s="214">
        <f t="shared" si="9"/>
        <v>180213.63979256939</v>
      </c>
      <c r="N43" s="214">
        <f t="shared" si="9"/>
        <v>188867.07437200769</v>
      </c>
      <c r="O43" s="214">
        <f t="shared" si="9"/>
        <v>197909.99300425558</v>
      </c>
      <c r="P43" s="214">
        <f t="shared" si="9"/>
        <v>207359.27545151443</v>
      </c>
      <c r="Q43" s="235">
        <f t="shared" si="9"/>
        <v>217232.51567847628</v>
      </c>
      <c r="R43" s="215"/>
    </row>
    <row r="63" spans="3:17" x14ac:dyDescent="0.2">
      <c r="C63" s="477" t="s">
        <v>351</v>
      </c>
      <c r="D63" s="477"/>
      <c r="E63" s="477"/>
      <c r="F63" s="477"/>
      <c r="G63" s="477"/>
      <c r="H63" s="477"/>
      <c r="I63" s="477"/>
      <c r="J63" s="477"/>
      <c r="K63" s="477"/>
      <c r="L63" s="477"/>
      <c r="M63" s="477"/>
      <c r="N63" s="477"/>
      <c r="O63" s="477"/>
      <c r="P63" s="477"/>
      <c r="Q63" s="477"/>
    </row>
    <row r="64" spans="3:17" x14ac:dyDescent="0.2">
      <c r="C64" s="477"/>
      <c r="D64" s="477"/>
      <c r="E64" s="477"/>
      <c r="F64" s="477"/>
      <c r="G64" s="477"/>
      <c r="H64" s="477"/>
      <c r="I64" s="477"/>
      <c r="J64" s="477"/>
      <c r="K64" s="477"/>
      <c r="L64" s="477"/>
      <c r="M64" s="477"/>
      <c r="N64" s="477"/>
      <c r="O64" s="477"/>
      <c r="P64" s="477"/>
      <c r="Q64" s="477"/>
    </row>
  </sheetData>
  <sheetProtection algorithmName="SHA-512" hashValue="+ObXG24TzMdeCHPbPJdshNuf62CMmJL56b1TdOUePFWnO8kO+/GZMSpHqsbG+SwVzQBMjVt9p1qw1y5BH8sAZw==" saltValue="eieKrL2BdV+1TlpT0PkP2A==" spinCount="100000" sheet="1" objects="1" scenarios="1"/>
  <mergeCells count="5">
    <mergeCell ref="C63:Q64"/>
    <mergeCell ref="S23:S31"/>
    <mergeCell ref="C11:D11"/>
    <mergeCell ref="S10:S22"/>
    <mergeCell ref="B7:Q7"/>
  </mergeCells>
  <conditionalFormatting sqref="E26:E28">
    <cfRule type="expression" dxfId="10" priority="24">
      <formula>E26=""</formula>
    </cfRule>
  </conditionalFormatting>
  <conditionalFormatting sqref="E11:F11">
    <cfRule type="expression" dxfId="9" priority="39">
      <formula>E11=""</formula>
    </cfRule>
  </conditionalFormatting>
  <conditionalFormatting sqref="E35:Q35">
    <cfRule type="expression" dxfId="8" priority="38">
      <formula>E35=""</formula>
    </cfRule>
  </conditionalFormatting>
  <conditionalFormatting sqref="E38:Q40">
    <cfRule type="expression" dxfId="7" priority="30">
      <formula>E38=""</formula>
    </cfRule>
  </conditionalFormatting>
  <conditionalFormatting sqref="G26:Q27 F28:Q28 F29:F30">
    <cfRule type="expression" dxfId="2" priority="37">
      <formula>F26=""</formula>
    </cfRule>
  </conditionalFormatting>
  <dataValidations count="5">
    <dataValidation type="decimal" operator="lessThanOrEqual" allowBlank="1" showInputMessage="1" showErrorMessage="1" error="Costs should be entered as negative values." sqref="E23:E25 G23:Q25 L19:Q19 G12:Q12 E29:E30" xr:uid="{00000000-0002-0000-0700-000001000000}">
      <formula1>0</formula1>
    </dataValidation>
    <dataValidation type="whole" operator="lessThanOrEqual" allowBlank="1" showInputMessage="1" showErrorMessage="1" error="Operating reserves must be projected as negative numbers (costs)." sqref="G29:Q30 E41:Q42" xr:uid="{F204EF89-E791-420C-9063-F72CAAF88E99}">
      <formula1>0</formula1>
    </dataValidation>
    <dataValidation type="decimal" operator="greaterThanOrEqual" allowBlank="1" showInputMessage="1" showErrorMessage="1" sqref="F11 E36:Q36" xr:uid="{D89EF26F-052B-4BC8-AF42-77A7B6C53C37}">
      <formula1>0</formula1>
    </dataValidation>
    <dataValidation type="decimal" operator="greaterThanOrEqual" allowBlank="1" showInputMessage="1" showErrorMessage="1" error="Income should be entered as positive number values." sqref="E12:E21" xr:uid="{00000000-0002-0000-0700-000000000000}">
      <formula1>0</formula1>
    </dataValidation>
    <dataValidation type="decimal" operator="greaterThanOrEqual" allowBlank="1" showInputMessage="1" showErrorMessage="1" error="Income should be entered as positive values." sqref="L15:Q18 G13:Q13 G15:K21 L20:Q21" xr:uid="{A02FA480-B2B0-974B-A910-71100D62C95B}">
      <formula1>0</formula1>
    </dataValidation>
  </dataValidations>
  <pageMargins left="0.7" right="0.7" top="0.75" bottom="0.75" header="0.3" footer="0.3"/>
  <pageSetup paperSize="5" scale="84" orientation="portrait" r:id="rId1"/>
  <headerFooter>
    <oddFooter>&amp;L&amp;"Source Sans Pro,Regular"&amp;9 © 2023 Fannie Mae.Trademarks of Fannie Mae. _x000D_&amp;1#&amp;"Calibri"&amp;10&amp;K000000 Fannie Mae Confidential&amp;C&amp;"Source Sans Pro,Regular"&amp;9&amp;A&amp;R&amp;"Source Sans Pro,Regular"&amp;9 Form 4099.I -  October 2023 Solar Rewards Intake Form</oddFooter>
  </headerFooter>
  <rowBreaks count="1" manualBreakCount="1">
    <brk id="5"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89" id="{00000000-000E-0000-0700-000005000000}">
            <xm:f>AND(F12="",'Input-Income'!$D$35="yes")</xm:f>
            <x14:dxf>
              <fill>
                <patternFill>
                  <bgColor rgb="FFFFFF99"/>
                </patternFill>
              </fill>
            </x14:dxf>
          </x14:cfRule>
          <xm:sqref>F12</xm:sqref>
        </x14:conditionalFormatting>
        <x14:conditionalFormatting xmlns:xm="http://schemas.microsoft.com/office/excel/2006/main">
          <x14:cfRule type="expression" priority="87" id="{00000000-000E-0000-0700-000007000000}">
            <xm:f>AND(F13="",'Input-Income'!$D$33="yes")</xm:f>
            <x14:dxf>
              <fill>
                <patternFill>
                  <bgColor rgb="FFFFFF99"/>
                </patternFill>
              </fill>
            </x14:dxf>
          </x14:cfRule>
          <xm:sqref>F13</xm:sqref>
        </x14:conditionalFormatting>
        <x14:conditionalFormatting xmlns:xm="http://schemas.microsoft.com/office/excel/2006/main">
          <x14:cfRule type="expression" priority="2" id="{35732EB4-DB00-CA45-BD24-64858CB4FF4F}">
            <xm:f>AND(F15="",'Input-Income'!$D37="Yes")</xm:f>
            <x14:dxf>
              <fill>
                <patternFill>
                  <bgColor rgb="FFFFFF99"/>
                </patternFill>
              </fill>
            </x14:dxf>
          </x14:cfRule>
          <xm:sqref>F15:Q21</xm:sqref>
        </x14:conditionalFormatting>
        <x14:conditionalFormatting xmlns:xm="http://schemas.microsoft.com/office/excel/2006/main">
          <x14:cfRule type="expression" priority="3" id="{0E2A91CD-1D22-A648-B8EF-D53702FD9CBA}">
            <xm:f>AND(G13="",'Input-Income'!$D35="Yes")</xm:f>
            <x14:dxf>
              <fill>
                <patternFill>
                  <bgColor rgb="FFFFFF99"/>
                </patternFill>
              </fill>
            </x14:dxf>
          </x14:cfRule>
          <xm:sqref>G13:Q13</xm:sqref>
        </x14:conditionalFormatting>
        <x14:conditionalFormatting xmlns:xm="http://schemas.microsoft.com/office/excel/2006/main">
          <x14:cfRule type="expression" priority="90" id="{00000000-000E-0000-0700-000004000000}">
            <xm:f>AND(L15="",'Input-Income'!$D37="Yes")</xm:f>
            <x14:dxf>
              <fill>
                <patternFill>
                  <bgColor rgb="FFFFFF99"/>
                </patternFill>
              </fill>
            </x14:dxf>
          </x14:cfRule>
          <xm:sqref>L15:Q16</xm:sqref>
        </x14:conditionalFormatting>
        <x14:conditionalFormatting xmlns:xm="http://schemas.microsoft.com/office/excel/2006/main">
          <x14:cfRule type="expression" priority="1" id="{2947798C-3CA8-454C-97CB-FC174D3D45F1}">
            <xm:f>AND(L20="",'Input-Income'!$D42="Yes")</xm:f>
            <x14:dxf>
              <fill>
                <patternFill>
                  <bgColor rgb="FFFFFF99"/>
                </patternFill>
              </fill>
            </x14:dxf>
          </x14:cfRule>
          <xm:sqref>L20:Q21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J30"/>
  <sheetViews>
    <sheetView topLeftCell="A2" zoomScale="90" zoomScaleNormal="90" workbookViewId="0"/>
  </sheetViews>
  <sheetFormatPr baseColWidth="10" defaultColWidth="9.1640625" defaultRowHeight="15" x14ac:dyDescent="0.2"/>
  <cols>
    <col min="1" max="1" width="15.1640625" style="10" customWidth="1"/>
    <col min="2" max="2" width="15.5" style="10" customWidth="1"/>
    <col min="3" max="3" width="13.33203125" style="10" customWidth="1"/>
    <col min="4" max="4" width="19.6640625" style="10" customWidth="1"/>
    <col min="5" max="5" width="19.1640625" style="10" customWidth="1"/>
    <col min="6" max="6" width="15.5" style="10" customWidth="1"/>
    <col min="7" max="7" width="12.5" style="10" customWidth="1"/>
    <col min="8" max="8" width="18.5" style="10" customWidth="1"/>
    <col min="9" max="9" width="19.5" style="10" customWidth="1"/>
    <col min="10" max="10" width="17.1640625" style="10" customWidth="1"/>
    <col min="11" max="16384" width="9.1640625" style="10"/>
  </cols>
  <sheetData>
    <row r="1" spans="1:10" x14ac:dyDescent="0.2">
      <c r="A1" s="236" t="s">
        <v>238</v>
      </c>
      <c r="B1" s="236" t="s">
        <v>239</v>
      </c>
      <c r="C1" s="236" t="s">
        <v>253</v>
      </c>
      <c r="D1" s="236" t="s">
        <v>254</v>
      </c>
      <c r="E1" s="236" t="s">
        <v>255</v>
      </c>
      <c r="F1" s="236" t="s">
        <v>274</v>
      </c>
      <c r="G1" s="236" t="s">
        <v>273</v>
      </c>
      <c r="H1" s="236" t="s">
        <v>275</v>
      </c>
      <c r="I1" s="236" t="s">
        <v>373</v>
      </c>
      <c r="J1" s="236" t="s">
        <v>374</v>
      </c>
    </row>
    <row r="2" spans="1:10" x14ac:dyDescent="0.2">
      <c r="A2" s="236" t="str">
        <f>'Input-SystemDetails'!D8</f>
        <v>Javelina Heights</v>
      </c>
      <c r="B2" s="236" t="str">
        <f>'Input-SystemDetails'!D10</f>
        <v>Generic Energy Consulting</v>
      </c>
      <c r="C2" s="237">
        <f>'Input-SystemDetails'!D12</f>
        <v>45231</v>
      </c>
      <c r="D2" s="237">
        <f>'Input-SystemDetails'!D14</f>
        <v>45245</v>
      </c>
      <c r="E2" s="237">
        <f>MAX('Input-SystemDetails'!D14:D18)</f>
        <v>45245</v>
      </c>
      <c r="F2" s="237">
        <f>'Lender Validation'!H16</f>
        <v>45296</v>
      </c>
      <c r="G2" s="236" t="str">
        <f>'Lender Validation'!E12</f>
        <v>Arbor Commercial Funding I, LLC</v>
      </c>
      <c r="H2" s="236" t="str">
        <f>'Lender Validation'!E16</f>
        <v>Alyssa Sah</v>
      </c>
      <c r="I2" s="236" t="b">
        <f>IF(COUNTIF(chart!C9:C21,FALSE)+COUNTIF('DB-Loans'!A2:G2,0)+COUNTIF('DB-Loans'!H2,0)&gt;0,FALSE,TRUE)</f>
        <v>1</v>
      </c>
      <c r="J2" s="377" t="s">
        <v>468</v>
      </c>
    </row>
    <row r="30" spans="2:2" x14ac:dyDescent="0.2">
      <c r="B30" s="10" t="s">
        <v>323</v>
      </c>
    </row>
  </sheetData>
  <pageMargins left="0.7" right="0.7" top="0.75" bottom="0.75" header="0.3" footer="0.3"/>
  <pageSetup paperSize="5" scale="84" orientation="landscape" r:id="rId1"/>
  <headerFooter>
    <oddFooter>&amp;L&amp;"Source Sans Pro,Regular"&amp;9 © 2023 Fannie Mae.Trademarks of Fannie Mae. _x000D_&amp;1#&amp;"Calibri"&amp;10&amp;K000000 Fannie Mae Confidential&amp;C&amp;"Source Sans Pro,Regular"&amp;9&amp;A&amp;R&amp;"Source Sans Pro,Regular"&amp;9 Form 4099.I -  October 2023 Solar Rewards Intake Form</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Instructions</vt:lpstr>
      <vt:lpstr>Lender Validation</vt:lpstr>
      <vt:lpstr>QC Alerts</vt:lpstr>
      <vt:lpstr>Input-SystemDetails</vt:lpstr>
      <vt:lpstr>Input-RoofMountedSystems</vt:lpstr>
      <vt:lpstr>Input-UpfrontExpenses</vt:lpstr>
      <vt:lpstr>Input-Income</vt:lpstr>
      <vt:lpstr>Input-ProForma</vt:lpstr>
      <vt:lpstr>DB-Loans</vt:lpstr>
      <vt:lpstr>DB-ProjectInformation</vt:lpstr>
      <vt:lpstr>DB-SystemComponents</vt:lpstr>
      <vt:lpstr>DB-Roofs</vt:lpstr>
      <vt:lpstr>DB-ProjectMilestones</vt:lpstr>
      <vt:lpstr>DB-IncomeAndExpenses</vt:lpstr>
      <vt:lpstr>Dropdowns</vt:lpstr>
      <vt:lpstr>chart</vt:lpstr>
      <vt:lpstr>'Input-Income'!Print_Area</vt:lpstr>
      <vt:lpstr>'Input-RoofMountedSystems'!Print_Area</vt:lpstr>
      <vt:lpstr>'Input-SystemDetails'!Print_Area</vt:lpstr>
      <vt:lpstr>'Lender Validation'!Print_Area</vt:lpstr>
      <vt:lpstr>'QC Alerts'!Print_Area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Alice Suh</dc:creator>
  <cp:lastModifiedBy>Kelly Jiang</cp:lastModifiedBy>
  <cp:lastPrinted>2019-02-05T20:53:49Z</cp:lastPrinted>
  <dcterms:created xsi:type="dcterms:W3CDTF">2018-10-11T17:12:09Z</dcterms:created>
  <dcterms:modified xsi:type="dcterms:W3CDTF">2024-03-12T17:13:23Z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455cd2-ef3f-47ad-8dee-f10882ec60d9_Enabled">
    <vt:lpwstr>true</vt:lpwstr>
  </property>
  <property fmtid="{D5CDD505-2E9C-101B-9397-08002B2CF9AE}" pid="3" name="MSIP_Label_a9455cd2-ef3f-47ad-8dee-f10882ec60d9_SetDate">
    <vt:lpwstr>2024-03-01T20:57:12Z</vt:lpwstr>
  </property>
  <property fmtid="{D5CDD505-2E9C-101B-9397-08002B2CF9AE}" pid="4" name="MSIP_Label_a9455cd2-ef3f-47ad-8dee-f10882ec60d9_Method">
    <vt:lpwstr>Standard</vt:lpwstr>
  </property>
  <property fmtid="{D5CDD505-2E9C-101B-9397-08002B2CF9AE}" pid="5" name="MSIP_Label_a9455cd2-ef3f-47ad-8dee-f10882ec60d9_Name">
    <vt:lpwstr>Confidential - Internal Distribution</vt:lpwstr>
  </property>
  <property fmtid="{D5CDD505-2E9C-101B-9397-08002B2CF9AE}" pid="6" name="MSIP_Label_a9455cd2-ef3f-47ad-8dee-f10882ec60d9_SiteId">
    <vt:lpwstr>e6baca02-d986-4077-8053-30de7d5e0d58</vt:lpwstr>
  </property>
  <property fmtid="{D5CDD505-2E9C-101B-9397-08002B2CF9AE}" pid="7" name="MSIP_Label_a9455cd2-ef3f-47ad-8dee-f10882ec60d9_ActionId">
    <vt:lpwstr>63a14773-372d-414a-bb07-2ecbb2c55786</vt:lpwstr>
  </property>
  <property fmtid="{D5CDD505-2E9C-101B-9397-08002B2CF9AE}" pid="8" name="MSIP_Label_a9455cd2-ef3f-47ad-8dee-f10882ec60d9_ContentBits">
    <vt:lpwstr>2</vt:lpwstr>
  </property>
</Properties>
</file>