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2"/>
  <workbookPr codeName="ThisWorkbook" defaultThemeVersion="124226"/>
  <mc:AlternateContent xmlns:mc="http://schemas.openxmlformats.org/markup-compatibility/2006">
    <mc:Choice Requires="x15">
      <x15ac:absPath xmlns:x15ac="http://schemas.microsoft.com/office/spreadsheetml/2010/11/ac" url="/Volumes/brightpowernyc/Shared/Daughterlode/Clients/Fannie Mae/SI_018108_Multifamily Green Financing Business TA 2024/Deliverables/Sample HPB Docs/"/>
    </mc:Choice>
  </mc:AlternateContent>
  <xr:revisionPtr revIDLastSave="0" documentId="13_ncr:1_{49A35B6B-839D-FF4A-8A18-66BE4CAE61D4}" xr6:coauthVersionLast="47" xr6:coauthVersionMax="47" xr10:uidLastSave="{00000000-0000-0000-0000-000000000000}"/>
  <workbookProtection workbookAlgorithmName="SHA-512" workbookHashValue="Znf1I/hFvJF7G8aHS9VmdRv/1s409MI1Cu/mVU05u+gTssHA7KP3gB+0iiUktnuwXAooj1YrSka6yepn2/LGTw==" workbookSaltValue="B07hcWlj7cwd4ykk7bbixA==" workbookSpinCount="100000" lockStructure="1"/>
  <bookViews>
    <workbookView xWindow="740" yWindow="1360" windowWidth="18860" windowHeight="17000" tabRatio="772" xr2:uid="{00000000-000D-0000-FFFF-FFFF00000000}"/>
  </bookViews>
  <sheets>
    <sheet name="Instructions" sheetId="18" r:id="rId1"/>
    <sheet name="Lender Validation" sheetId="59" r:id="rId2"/>
    <sheet name="Check Errors" sheetId="55" r:id="rId3"/>
    <sheet name="QC Ranges" sheetId="37" state="hidden" r:id="rId4"/>
    <sheet name="EWEMQC" sheetId="56" state="hidden" r:id="rId5"/>
    <sheet name="Input-Property" sheetId="57" r:id="rId6"/>
    <sheet name="Input-Utilities" sheetId="65" r:id="rId7"/>
    <sheet name="Input-WaterCalc" sheetId="36" r:id="rId8"/>
    <sheet name="Input-EWEMs" sheetId="39" r:id="rId9"/>
    <sheet name="Input-Solar" sheetId="66" r:id="rId10"/>
    <sheet name="Input-Electrification" sheetId="69" r:id="rId11"/>
    <sheet name="DB-Loans" sheetId="60" state="hidden" r:id="rId12"/>
    <sheet name="DB-Properties" sheetId="52" state="hidden" r:id="rId13"/>
    <sheet name="DB-Utilities" sheetId="50" state="hidden" r:id="rId14"/>
    <sheet name="DB-InUnitUtilities" sheetId="68" state="hidden" r:id="rId15"/>
    <sheet name="DB-WaterCalc" sheetId="63" state="hidden" r:id="rId16"/>
    <sheet name="DB-EWEM" sheetId="53" state="hidden" r:id="rId17"/>
    <sheet name="DB-EWEMAdjusted" sheetId="62" state="hidden" r:id="rId18"/>
    <sheet name="DB-Solar" sheetId="67" state="hidden" r:id="rId19"/>
    <sheet name="DB-Electrification" sheetId="71" state="hidden" r:id="rId20"/>
    <sheet name="Report-Utilities" sheetId="15" r:id="rId21"/>
    <sheet name="Report-EWEMCostSavings" sheetId="54" r:id="rId22"/>
    <sheet name="Report-EWEMConsSavings" sheetId="42" r:id="rId23"/>
    <sheet name="Report-Electrification" sheetId="72" r:id="rId24"/>
    <sheet name="Assumptions" sheetId="22" state="hidden" r:id="rId25"/>
    <sheet name="Dropdowns" sheetId="21" state="hidden" r:id="rId26"/>
    <sheet name="MeasureList" sheetId="41" state="hidden" r:id="rId27"/>
    <sheet name="Reference-MeasureList" sheetId="58" r:id="rId28"/>
    <sheet name="Reference-MeasureList EULs" sheetId="64" state="hidden" r:id="rId29"/>
  </sheets>
  <definedNames>
    <definedName name="_xlnm._FilterDatabase" localSheetId="1" hidden="1">'Lender Validation'!$B$43:$B$73</definedName>
    <definedName name="measure_cats" comment="EWEM categories" localSheetId="2">measures_table[#Headers]</definedName>
    <definedName name="measure_cats" comment="EWEM categories" localSheetId="19">measures_table[#Headers]</definedName>
    <definedName name="measure_cats" comment="EWEM categories" localSheetId="17">measures_table[#Headers]</definedName>
    <definedName name="measure_cats" comment="EWEM categories" localSheetId="14">measures_table[#Headers]</definedName>
    <definedName name="measure_cats" comment="EWEM categories" localSheetId="11">measures_table[#Headers]</definedName>
    <definedName name="measure_cats" comment="EWEM categories" localSheetId="12">measures_table[#Headers]</definedName>
    <definedName name="measure_cats" comment="EWEM categories" localSheetId="18">measures_table[#Headers]</definedName>
    <definedName name="measure_cats" comment="EWEM categories" localSheetId="15">measures_table[#Headers]</definedName>
    <definedName name="measure_cats" comment="EWEM categories" localSheetId="10">measures_table[#Headers]</definedName>
    <definedName name="measure_cats" comment="EWEM categories" localSheetId="5">measures_table[#Headers]</definedName>
    <definedName name="measure_cats" comment="EWEM categories" localSheetId="9">measures_table[#Headers]</definedName>
    <definedName name="measure_cats" comment="EWEM categories" localSheetId="6">measures_table[#Headers]</definedName>
    <definedName name="measure_cats" comment="EWEM categories" localSheetId="1">measures_table[#Headers]</definedName>
    <definedName name="measure_cats" comment="EWEM categories" localSheetId="28">measures_table[#Headers]</definedName>
    <definedName name="measure_cats" comment="EWEM categories" localSheetId="23">measures_table[#Headers]</definedName>
    <definedName name="measure_cats" comment="EWEM categories" localSheetId="22">measures_table[#Headers]</definedName>
    <definedName name="measure_cats" comment="EWEM categories" localSheetId="21">measures_table[#Headers]</definedName>
    <definedName name="measure_cats" comment="EWEM categories">measures_table[#Headers]</definedName>
    <definedName name="measures" localSheetId="2">INDEX(measures_table[],,MATCH('Input-EWEMs'!$D1,'Check Errors'!measure_cats,0))</definedName>
    <definedName name="measures" localSheetId="19">INDEX(measures_table[],,MATCH('Input-EWEMs'!$D1,'DB-Electrification'!measure_cats,0))</definedName>
    <definedName name="measures" localSheetId="17">INDEX(measures_table[],,MATCH('Input-EWEMs'!$D1,'DB-EWEMAdjusted'!measure_cats,0))</definedName>
    <definedName name="measures" localSheetId="14">INDEX(measures_table[],,MATCH('Input-EWEMs'!$D1,'DB-InUnitUtilities'!measure_cats,0))</definedName>
    <definedName name="measures" localSheetId="11">INDEX(measures_table[],,MATCH('Input-EWEMs'!$D1,'DB-Loans'!measure_cats,0))</definedName>
    <definedName name="measures" localSheetId="12">INDEX(measures_table[],,MATCH('Input-EWEMs'!$D1,'DB-Properties'!measure_cats,0))</definedName>
    <definedName name="measures" localSheetId="18">INDEX(measures_table[],,MATCH('Input-EWEMs'!$D1,'DB-Solar'!measure_cats,0))</definedName>
    <definedName name="measures" localSheetId="15">INDEX(measures_table[],,MATCH('Input-EWEMs'!$D1,'DB-WaterCalc'!measure_cats,0))</definedName>
    <definedName name="measures" localSheetId="10">INDEX(measures_table[],,MATCH('Input-EWEMs'!$D1,'Input-Electrification'!measure_cats,0))</definedName>
    <definedName name="measures" localSheetId="5">INDEX(measures_table[],,MATCH('Input-EWEMs'!$D1,'Input-Property'!measure_cats,0))</definedName>
    <definedName name="measures" localSheetId="9">INDEX(measures_table[],,MATCH('Input-EWEMs'!$D1,'Input-Solar'!measure_cats,0))</definedName>
    <definedName name="measures" localSheetId="6">INDEX(measures_table[],,MATCH('Input-EWEMs'!$D1,'Input-Utilities'!measure_cats,0))</definedName>
    <definedName name="measures" localSheetId="1">INDEX(measures_table[],,MATCH('Input-EWEMs'!$D1,'Lender Validation'!measure_cats,0))</definedName>
    <definedName name="measures" localSheetId="28">INDEX(measures_table[],,MATCH('Input-EWEMs'!$D1,'Reference-MeasureList EULs'!measure_cats,0))</definedName>
    <definedName name="measures" localSheetId="23">INDEX(measures_table[],,MATCH('Input-EWEMs'!$D1,'Report-Electrification'!measure_cats,0))</definedName>
    <definedName name="measures" localSheetId="22">INDEX(measures_table[],,MATCH('Input-EWEMs'!$D1,'Report-EWEMConsSavings'!measure_cats,0))</definedName>
    <definedName name="measures" localSheetId="21">INDEX(measures_table[],,MATCH('Input-EWEMs'!$D1,'Report-EWEMCostSavings'!measure_cats,0))</definedName>
    <definedName name="measures">INDEX(measures_table[],,MATCH('Input-EWEMs'!$D1,measure_cats,0))</definedName>
    <definedName name="_xlnm.Print_Area" localSheetId="10">'Input-Electrification'!$A$1:$L$18</definedName>
    <definedName name="_xlnm.Print_Area" localSheetId="8">'Input-EWEMs'!$A$1:$AJ$42</definedName>
    <definedName name="_xlnm.Print_Area" localSheetId="5">'Input-Property'!$A$1:$H$52</definedName>
    <definedName name="_xlnm.Print_Area" localSheetId="9">'Input-Solar'!$A$1:$L$22</definedName>
    <definedName name="_xlnm.Print_Area" localSheetId="6">'Input-Utilities'!$A$1:$P$52</definedName>
    <definedName name="_xlnm.Print_Area" localSheetId="23">'Report-Electrification'!$A$1:$E$18</definedName>
  </definedNames>
  <calcPr calcId="191028"/>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6" i="36" l="1"/>
  <c r="F20" i="36"/>
  <c r="F18" i="36"/>
  <c r="F16" i="36"/>
  <c r="F14" i="36"/>
  <c r="E27" i="65"/>
  <c r="E26" i="65"/>
  <c r="E24" i="65"/>
  <c r="J11" i="65" l="1"/>
  <c r="B19" i="59" l="1"/>
  <c r="E3" i="53" l="1"/>
  <c r="E4" i="53"/>
  <c r="E5" i="53"/>
  <c r="E6" i="53"/>
  <c r="E7" i="53"/>
  <c r="E8" i="53"/>
  <c r="E9" i="53"/>
  <c r="E10" i="53"/>
  <c r="E11" i="53"/>
  <c r="E12" i="53"/>
  <c r="E13" i="53"/>
  <c r="E14" i="53"/>
  <c r="E15" i="53"/>
  <c r="E16" i="53"/>
  <c r="E17" i="53"/>
  <c r="E18" i="53"/>
  <c r="E19" i="53"/>
  <c r="E20" i="53"/>
  <c r="E21" i="53"/>
  <c r="E22" i="53"/>
  <c r="E23" i="53"/>
  <c r="E24" i="53"/>
  <c r="E25" i="53"/>
  <c r="E26" i="53"/>
  <c r="E27" i="53"/>
  <c r="E28" i="53"/>
  <c r="E29" i="53"/>
  <c r="E30" i="53"/>
  <c r="E31" i="53"/>
  <c r="E2" i="53"/>
  <c r="P8" i="58"/>
  <c r="P9" i="58"/>
  <c r="P10" i="58"/>
  <c r="P7" i="58"/>
  <c r="W11" i="39" l="1"/>
  <c r="I36" i="56"/>
  <c r="I37" i="56"/>
  <c r="I38" i="56"/>
  <c r="I39" i="56"/>
  <c r="I43" i="56"/>
  <c r="I44" i="56"/>
  <c r="I45" i="56"/>
  <c r="I46" i="56"/>
  <c r="I47" i="56"/>
  <c r="I48" i="56"/>
  <c r="I49" i="56"/>
  <c r="I50" i="56"/>
  <c r="I51" i="56"/>
  <c r="I52" i="56"/>
  <c r="I53" i="56"/>
  <c r="I54" i="56"/>
  <c r="I55" i="56"/>
  <c r="I56" i="56"/>
  <c r="I57" i="56"/>
  <c r="U76" i="59" l="1"/>
  <c r="S12" i="39"/>
  <c r="P12" i="39"/>
  <c r="M12" i="39"/>
  <c r="J12" i="39"/>
  <c r="AQ17" i="53" l="1"/>
  <c r="AQ18" i="53"/>
  <c r="AQ19" i="53"/>
  <c r="AQ20" i="53"/>
  <c r="AQ21" i="53"/>
  <c r="AQ22" i="53"/>
  <c r="AQ23" i="53"/>
  <c r="AQ24" i="53"/>
  <c r="AQ25" i="53"/>
  <c r="AQ26" i="53"/>
  <c r="AQ27" i="53"/>
  <c r="AQ28" i="53"/>
  <c r="AQ29" i="53"/>
  <c r="AQ30" i="53"/>
  <c r="AQ31" i="53"/>
  <c r="AP17" i="53"/>
  <c r="AP18" i="53"/>
  <c r="AP19" i="53"/>
  <c r="AP20" i="53"/>
  <c r="AP21" i="53"/>
  <c r="AP22" i="53"/>
  <c r="AP23" i="53"/>
  <c r="AP24" i="53"/>
  <c r="AP25" i="53"/>
  <c r="AP26" i="53"/>
  <c r="AP27" i="53"/>
  <c r="AP28" i="53"/>
  <c r="AP29" i="53"/>
  <c r="AP30" i="53"/>
  <c r="AP31" i="53"/>
  <c r="AK12" i="39"/>
  <c r="AI27" i="39"/>
  <c r="I26" i="42" s="1"/>
  <c r="AI28" i="39"/>
  <c r="U60" i="59" s="1"/>
  <c r="AI29" i="39"/>
  <c r="U61" i="59" s="1"/>
  <c r="AI30" i="39"/>
  <c r="I29" i="42" s="1"/>
  <c r="AI31" i="39"/>
  <c r="U63" i="59" s="1"/>
  <c r="AI32" i="39"/>
  <c r="U64" i="59" s="1"/>
  <c r="AI33" i="39"/>
  <c r="U65" i="59" s="1"/>
  <c r="AI34" i="39"/>
  <c r="U66" i="59" s="1"/>
  <c r="AI35" i="39"/>
  <c r="U67" i="59" s="1"/>
  <c r="AI36" i="39"/>
  <c r="U68" i="59" s="1"/>
  <c r="AI37" i="39"/>
  <c r="I36" i="42" s="1"/>
  <c r="AI38" i="39"/>
  <c r="I37" i="42" s="1"/>
  <c r="AI39" i="39"/>
  <c r="I38" i="42" s="1"/>
  <c r="AI40" i="39"/>
  <c r="U72" i="59" s="1"/>
  <c r="AI41" i="39"/>
  <c r="I40" i="42" s="1"/>
  <c r="H6" i="22"/>
  <c r="AH41" i="39"/>
  <c r="AH40" i="39"/>
  <c r="AH39" i="39"/>
  <c r="AH38" i="39"/>
  <c r="AH37" i="39"/>
  <c r="AH36" i="39"/>
  <c r="AH35" i="39"/>
  <c r="AH34" i="39"/>
  <c r="AH33" i="39"/>
  <c r="AH32" i="39"/>
  <c r="AH31" i="39"/>
  <c r="AH30" i="39"/>
  <c r="AH29" i="39"/>
  <c r="AH28" i="39"/>
  <c r="AH27" i="39"/>
  <c r="U71" i="59" l="1"/>
  <c r="U59" i="59"/>
  <c r="I33" i="42"/>
  <c r="H34" i="54"/>
  <c r="H33" i="54"/>
  <c r="H32" i="54"/>
  <c r="H31" i="54"/>
  <c r="I28" i="42"/>
  <c r="I27" i="42"/>
  <c r="H30" i="54"/>
  <c r="H29" i="54"/>
  <c r="H28" i="54"/>
  <c r="H39" i="54"/>
  <c r="H27" i="54"/>
  <c r="I30" i="42"/>
  <c r="H38" i="54"/>
  <c r="H26" i="54"/>
  <c r="U62" i="59"/>
  <c r="H37" i="54"/>
  <c r="H25" i="54"/>
  <c r="H36" i="54"/>
  <c r="H35" i="54"/>
  <c r="I32" i="42"/>
  <c r="I39" i="42"/>
  <c r="U73" i="59"/>
  <c r="I35" i="42"/>
  <c r="I34" i="42"/>
  <c r="U70" i="59"/>
  <c r="I31" i="42"/>
  <c r="U69" i="59"/>
  <c r="P13" i="65"/>
  <c r="E7" i="37"/>
  <c r="D7" i="37"/>
  <c r="E6" i="37"/>
  <c r="D6" i="37"/>
  <c r="P12" i="65"/>
  <c r="B7" i="72" l="1"/>
  <c r="D37" i="72"/>
  <c r="O19" i="36" l="1"/>
  <c r="O17" i="36"/>
  <c r="O15" i="36"/>
  <c r="D38" i="72" l="1"/>
  <c r="D36" i="72"/>
  <c r="D35" i="72"/>
  <c r="D34" i="72"/>
  <c r="D33" i="72"/>
  <c r="D23" i="72"/>
  <c r="D28" i="72"/>
  <c r="D27" i="72"/>
  <c r="D26" i="72"/>
  <c r="D25" i="72"/>
  <c r="D24" i="72"/>
  <c r="B31" i="72"/>
  <c r="E30" i="72" s="1"/>
  <c r="B41" i="72"/>
  <c r="E40" i="72" s="1"/>
  <c r="C29" i="72"/>
  <c r="D29" i="72" s="1"/>
  <c r="C39" i="72"/>
  <c r="E39" i="72" s="1"/>
  <c r="AA45" i="59"/>
  <c r="E29" i="72" l="1"/>
  <c r="E31" i="72"/>
  <c r="E41" i="72"/>
  <c r="D39" i="72"/>
  <c r="Y45" i="59" l="1"/>
  <c r="X49" i="59"/>
  <c r="Y49" i="59"/>
  <c r="X50" i="59"/>
  <c r="Y50" i="59"/>
  <c r="X51" i="59"/>
  <c r="Y51" i="59"/>
  <c r="X52" i="59"/>
  <c r="Y52" i="59"/>
  <c r="X53" i="59"/>
  <c r="Y53" i="59"/>
  <c r="X54" i="59"/>
  <c r="Y54" i="59"/>
  <c r="X55" i="59"/>
  <c r="Y55" i="59"/>
  <c r="X56" i="59"/>
  <c r="Y56" i="59"/>
  <c r="Y57" i="59"/>
  <c r="X58" i="59"/>
  <c r="Y58" i="59"/>
  <c r="X59" i="59"/>
  <c r="Y59" i="59"/>
  <c r="X60" i="59"/>
  <c r="Y60" i="59"/>
  <c r="X61" i="59"/>
  <c r="Y61" i="59"/>
  <c r="X62" i="59"/>
  <c r="Y62" i="59"/>
  <c r="X63" i="59"/>
  <c r="Y63" i="59"/>
  <c r="X64" i="59"/>
  <c r="Y64" i="59"/>
  <c r="X65" i="59"/>
  <c r="Y65" i="59"/>
  <c r="X66" i="59"/>
  <c r="Y66" i="59"/>
  <c r="X67" i="59"/>
  <c r="Y67" i="59"/>
  <c r="X68" i="59"/>
  <c r="Y68" i="59"/>
  <c r="X70" i="59"/>
  <c r="Y70" i="59"/>
  <c r="X71" i="59"/>
  <c r="Y71" i="59"/>
  <c r="X72" i="59"/>
  <c r="Y72" i="59"/>
  <c r="X73" i="59"/>
  <c r="Y73" i="59"/>
  <c r="AA44" i="59"/>
  <c r="Y44" i="59" s="1"/>
  <c r="AA46" i="59"/>
  <c r="Y46" i="59" s="1"/>
  <c r="Z47" i="59"/>
  <c r="X47" i="59" s="1"/>
  <c r="AA47" i="59"/>
  <c r="Y47" i="59" s="1"/>
  <c r="Z48" i="59"/>
  <c r="X48" i="59" s="1"/>
  <c r="AA48" i="59"/>
  <c r="Y48" i="59" s="1"/>
  <c r="Z49" i="59"/>
  <c r="AA49" i="59"/>
  <c r="Z50" i="59"/>
  <c r="AA50" i="59"/>
  <c r="Z51" i="59"/>
  <c r="AA51" i="59"/>
  <c r="Z52" i="59"/>
  <c r="AA52" i="59"/>
  <c r="Z53" i="59"/>
  <c r="AA53" i="59"/>
  <c r="Z54" i="59"/>
  <c r="AA54" i="59"/>
  <c r="Z55" i="59"/>
  <c r="AA55" i="59"/>
  <c r="Z56" i="59"/>
  <c r="AA56" i="59"/>
  <c r="Z57" i="59"/>
  <c r="X57" i="59" s="1"/>
  <c r="AA57" i="59"/>
  <c r="Z58" i="59"/>
  <c r="AA58" i="59"/>
  <c r="Z59" i="59"/>
  <c r="AA59" i="59"/>
  <c r="Z60" i="59"/>
  <c r="AA60" i="59"/>
  <c r="Z61" i="59"/>
  <c r="AA61" i="59"/>
  <c r="Z62" i="59"/>
  <c r="AA62" i="59"/>
  <c r="Z63" i="59"/>
  <c r="AA63" i="59"/>
  <c r="Z64" i="59"/>
  <c r="AA64" i="59"/>
  <c r="Z65" i="59"/>
  <c r="AA65" i="59"/>
  <c r="Z66" i="59"/>
  <c r="AA66" i="59"/>
  <c r="Z67" i="59"/>
  <c r="AA67" i="59"/>
  <c r="Z68" i="59"/>
  <c r="AA68" i="59"/>
  <c r="AA69" i="59"/>
  <c r="Y69" i="59" s="1"/>
  <c r="Z70" i="59"/>
  <c r="AA70" i="59"/>
  <c r="Z71" i="59"/>
  <c r="AA71" i="59"/>
  <c r="Z72" i="59"/>
  <c r="AA72" i="59"/>
  <c r="Z73" i="59"/>
  <c r="AA73" i="59"/>
  <c r="E85" i="22" l="1"/>
  <c r="L23" i="69"/>
  <c r="L35" i="69"/>
  <c r="Q2" i="71"/>
  <c r="I2" i="71"/>
  <c r="H2" i="71"/>
  <c r="I73" i="59"/>
  <c r="H73" i="59"/>
  <c r="I72" i="59"/>
  <c r="H72" i="59"/>
  <c r="I71" i="59"/>
  <c r="H71" i="59"/>
  <c r="I70" i="59"/>
  <c r="H70" i="59"/>
  <c r="I69" i="59"/>
  <c r="H69" i="59"/>
  <c r="I68" i="59"/>
  <c r="H68" i="59"/>
  <c r="I67" i="59"/>
  <c r="H67" i="59"/>
  <c r="I66" i="59"/>
  <c r="H66" i="59"/>
  <c r="I65" i="59"/>
  <c r="H65" i="59"/>
  <c r="I64" i="59"/>
  <c r="H64" i="59"/>
  <c r="I63" i="59"/>
  <c r="H63" i="59"/>
  <c r="I62" i="59"/>
  <c r="H62" i="59"/>
  <c r="I61" i="59"/>
  <c r="H61" i="59"/>
  <c r="I60" i="59"/>
  <c r="H60" i="59"/>
  <c r="I59" i="59"/>
  <c r="H59" i="59"/>
  <c r="I58" i="59"/>
  <c r="H58" i="59"/>
  <c r="I57" i="59"/>
  <c r="H57" i="59"/>
  <c r="I56" i="59"/>
  <c r="H56" i="59"/>
  <c r="I55" i="59"/>
  <c r="H55" i="59"/>
  <c r="I54" i="59"/>
  <c r="H54" i="59"/>
  <c r="I53" i="59"/>
  <c r="H53" i="59"/>
  <c r="I52" i="59"/>
  <c r="H52" i="59"/>
  <c r="I51" i="59"/>
  <c r="H51" i="59"/>
  <c r="I50" i="59"/>
  <c r="H50" i="59"/>
  <c r="I49" i="59"/>
  <c r="H49" i="59"/>
  <c r="I48" i="59"/>
  <c r="H48" i="59"/>
  <c r="I47" i="59"/>
  <c r="H47" i="59"/>
  <c r="I46" i="59"/>
  <c r="H46" i="59"/>
  <c r="H45" i="59"/>
  <c r="H44" i="59"/>
  <c r="I45" i="59"/>
  <c r="I44" i="59"/>
  <c r="F19" i="55" l="1"/>
  <c r="F85" i="22" s="1"/>
  <c r="P2" i="71"/>
  <c r="C22" i="58" l="1"/>
  <c r="C23" i="58"/>
  <c r="C130" i="64"/>
  <c r="AM18" i="53" l="1"/>
  <c r="AN18" i="53"/>
  <c r="AM19" i="53"/>
  <c r="AN19" i="53"/>
  <c r="AM20" i="53"/>
  <c r="AN20" i="53"/>
  <c r="AM21" i="53"/>
  <c r="AN21" i="53"/>
  <c r="AM22" i="53"/>
  <c r="AN22" i="53"/>
  <c r="AM23" i="53"/>
  <c r="AN23" i="53"/>
  <c r="AM24" i="53"/>
  <c r="AN24" i="53"/>
  <c r="AM25" i="53"/>
  <c r="AN25" i="53"/>
  <c r="AM27" i="53"/>
  <c r="AN27" i="53"/>
  <c r="AM28" i="53"/>
  <c r="AN28" i="53"/>
  <c r="AM29" i="53"/>
  <c r="AN29" i="53"/>
  <c r="AM30" i="53"/>
  <c r="AN30" i="53"/>
  <c r="AM31" i="53"/>
  <c r="AN31" i="53"/>
  <c r="AK6" i="53"/>
  <c r="AL6" i="53"/>
  <c r="AJ7" i="53"/>
  <c r="AK7" i="53"/>
  <c r="AL7" i="53"/>
  <c r="AJ8" i="53"/>
  <c r="AK8" i="53"/>
  <c r="AL8" i="53"/>
  <c r="AJ9" i="53"/>
  <c r="AK9" i="53"/>
  <c r="AL9" i="53"/>
  <c r="AJ10" i="53"/>
  <c r="AK10" i="53"/>
  <c r="AL10" i="53"/>
  <c r="AJ11" i="53"/>
  <c r="AK11" i="53"/>
  <c r="AL11" i="53"/>
  <c r="AJ12" i="53"/>
  <c r="AK12" i="53"/>
  <c r="AL12" i="53"/>
  <c r="AJ14" i="53"/>
  <c r="AK14" i="53"/>
  <c r="AL14" i="53"/>
  <c r="AJ15" i="53"/>
  <c r="AK15" i="53"/>
  <c r="AL15" i="53"/>
  <c r="AJ16" i="53"/>
  <c r="AK16" i="53"/>
  <c r="AL16" i="53"/>
  <c r="AJ17" i="53"/>
  <c r="AK17" i="53"/>
  <c r="AL17" i="53"/>
  <c r="AJ18" i="53"/>
  <c r="AK18" i="53"/>
  <c r="AL18" i="53"/>
  <c r="AJ19" i="53"/>
  <c r="AK19" i="53"/>
  <c r="AL19" i="53"/>
  <c r="AJ20" i="53"/>
  <c r="AK20" i="53"/>
  <c r="AL20" i="53"/>
  <c r="AJ21" i="53"/>
  <c r="AK21" i="53"/>
  <c r="AL21" i="53"/>
  <c r="AJ22" i="53"/>
  <c r="AK22" i="53"/>
  <c r="AL22" i="53"/>
  <c r="AJ23" i="53"/>
  <c r="AK23" i="53"/>
  <c r="AL23" i="53"/>
  <c r="AJ24" i="53"/>
  <c r="AK24" i="53"/>
  <c r="AL24" i="53"/>
  <c r="AJ25" i="53"/>
  <c r="AK25" i="53"/>
  <c r="AL25" i="53"/>
  <c r="AJ27" i="53"/>
  <c r="AK27" i="53"/>
  <c r="AL27" i="53"/>
  <c r="AJ28" i="53"/>
  <c r="AK28" i="53"/>
  <c r="AL28" i="53"/>
  <c r="AJ29" i="53"/>
  <c r="AK29" i="53"/>
  <c r="AL29" i="53"/>
  <c r="AJ30" i="53"/>
  <c r="AK30" i="53"/>
  <c r="AL30" i="53"/>
  <c r="AJ31" i="53"/>
  <c r="AK31" i="53"/>
  <c r="AL31" i="53"/>
  <c r="AA6" i="53"/>
  <c r="AB6" i="53"/>
  <c r="Z7" i="53"/>
  <c r="AA7" i="53"/>
  <c r="AB7" i="53"/>
  <c r="Z8" i="53"/>
  <c r="AA8" i="53"/>
  <c r="AB8" i="53"/>
  <c r="Z9" i="53"/>
  <c r="AA9" i="53"/>
  <c r="AB9" i="53"/>
  <c r="Z10" i="53"/>
  <c r="AA10" i="53"/>
  <c r="AB10" i="53"/>
  <c r="Z11" i="53"/>
  <c r="AA11" i="53"/>
  <c r="AB11" i="53"/>
  <c r="Z12" i="53"/>
  <c r="AA12" i="53"/>
  <c r="AB12" i="53"/>
  <c r="Z14" i="53"/>
  <c r="AA14" i="53"/>
  <c r="AB14" i="53"/>
  <c r="Z15" i="53"/>
  <c r="AA15" i="53"/>
  <c r="AB15" i="53"/>
  <c r="Z16" i="53"/>
  <c r="AA16" i="53"/>
  <c r="AB16" i="53"/>
  <c r="Z17" i="53"/>
  <c r="AA17" i="53"/>
  <c r="AB17" i="53"/>
  <c r="Z18" i="53"/>
  <c r="AA18" i="53"/>
  <c r="AB18" i="53"/>
  <c r="Z19" i="53"/>
  <c r="AA19" i="53"/>
  <c r="AB19" i="53"/>
  <c r="Z20" i="53"/>
  <c r="AA20" i="53"/>
  <c r="AB20" i="53"/>
  <c r="Z21" i="53"/>
  <c r="AA21" i="53"/>
  <c r="AB21" i="53"/>
  <c r="Z22" i="53"/>
  <c r="AA22" i="53"/>
  <c r="AB22" i="53"/>
  <c r="Z23" i="53"/>
  <c r="AA23" i="53"/>
  <c r="AB23" i="53"/>
  <c r="Z24" i="53"/>
  <c r="AA24" i="53"/>
  <c r="AB24" i="53"/>
  <c r="Z25" i="53"/>
  <c r="AA25" i="53"/>
  <c r="AB25" i="53"/>
  <c r="Z27" i="53"/>
  <c r="AA27" i="53"/>
  <c r="AB27" i="53"/>
  <c r="Z28" i="53"/>
  <c r="AA28" i="53"/>
  <c r="AB28" i="53"/>
  <c r="Z29" i="53"/>
  <c r="AA29" i="53"/>
  <c r="AB29" i="53"/>
  <c r="Z30" i="53"/>
  <c r="AA30" i="53"/>
  <c r="AB30" i="53"/>
  <c r="Z31" i="53"/>
  <c r="AA31" i="53"/>
  <c r="AB31" i="53"/>
  <c r="AU31" i="53"/>
  <c r="AU30" i="53"/>
  <c r="AU29" i="53"/>
  <c r="AU28" i="53"/>
  <c r="AU27" i="53"/>
  <c r="AU25" i="53"/>
  <c r="AU24" i="53"/>
  <c r="AU23" i="53"/>
  <c r="AU22" i="53"/>
  <c r="AU21" i="53"/>
  <c r="AU20" i="53"/>
  <c r="AU19" i="53"/>
  <c r="AU18" i="53"/>
  <c r="AU17" i="53"/>
  <c r="AU16" i="53"/>
  <c r="AU15" i="53"/>
  <c r="AU14" i="53"/>
  <c r="AU12" i="53"/>
  <c r="AU11" i="53"/>
  <c r="AU10" i="53"/>
  <c r="AU9" i="53"/>
  <c r="AU8" i="53"/>
  <c r="AU7" i="53"/>
  <c r="P2" i="67"/>
  <c r="F2" i="67"/>
  <c r="E2" i="67"/>
  <c r="J4" i="50"/>
  <c r="J3" i="50"/>
  <c r="J2" i="50"/>
  <c r="X2" i="50"/>
  <c r="X4" i="50"/>
  <c r="W4" i="50"/>
  <c r="V4" i="50"/>
  <c r="T4" i="50"/>
  <c r="S4" i="50"/>
  <c r="I4" i="50"/>
  <c r="F4" i="50"/>
  <c r="X3" i="50"/>
  <c r="W3" i="50"/>
  <c r="V3" i="50"/>
  <c r="T3" i="50"/>
  <c r="S3" i="50"/>
  <c r="I3" i="50"/>
  <c r="F3" i="50"/>
  <c r="W2" i="50"/>
  <c r="V2" i="50"/>
  <c r="T2" i="50"/>
  <c r="S2" i="50"/>
  <c r="I2" i="50"/>
  <c r="F2" i="50"/>
  <c r="H8" i="22" l="1"/>
  <c r="H10" i="22"/>
  <c r="H16" i="22"/>
  <c r="Z61" i="39"/>
  <c r="AC61" i="39" s="1"/>
  <c r="Y61" i="39"/>
  <c r="AB61" i="39" s="1"/>
  <c r="X61" i="39"/>
  <c r="AA61" i="39" s="1"/>
  <c r="Z60" i="39"/>
  <c r="AC60" i="39" s="1"/>
  <c r="Y60" i="39"/>
  <c r="AB60" i="39" s="1"/>
  <c r="X60" i="39"/>
  <c r="AA60" i="39" s="1"/>
  <c r="X59" i="39"/>
  <c r="AA59" i="39" s="1"/>
  <c r="Z58" i="39"/>
  <c r="AC58" i="39" s="1"/>
  <c r="Y58" i="39"/>
  <c r="AB58" i="39" s="1"/>
  <c r="X58" i="39"/>
  <c r="AA58" i="39" s="1"/>
  <c r="Z57" i="39"/>
  <c r="AC57" i="39" s="1"/>
  <c r="Y57" i="39"/>
  <c r="AB57" i="39" s="1"/>
  <c r="X57" i="39"/>
  <c r="AA57" i="39" s="1"/>
  <c r="Z56" i="39"/>
  <c r="AC56" i="39" s="1"/>
  <c r="Y56" i="39"/>
  <c r="AB56" i="39" s="1"/>
  <c r="X56" i="39"/>
  <c r="AA56" i="39" s="1"/>
  <c r="Z55" i="39"/>
  <c r="AC55" i="39" s="1"/>
  <c r="Y55" i="39"/>
  <c r="AB55" i="39" s="1"/>
  <c r="X55" i="39"/>
  <c r="AA55" i="39" s="1"/>
  <c r="Z54" i="39"/>
  <c r="AC54" i="39" s="1"/>
  <c r="Y54" i="39"/>
  <c r="AB54" i="39" s="1"/>
  <c r="X54" i="39"/>
  <c r="AA54" i="39" s="1"/>
  <c r="Z53" i="39"/>
  <c r="AC53" i="39" s="1"/>
  <c r="Y53" i="39"/>
  <c r="AB53" i="39" s="1"/>
  <c r="X53" i="39"/>
  <c r="AA53" i="39" s="1"/>
  <c r="X52" i="39"/>
  <c r="AA52" i="39" s="1"/>
  <c r="Z41" i="39"/>
  <c r="AC41" i="39" s="1"/>
  <c r="Y41" i="39"/>
  <c r="AB41" i="39" s="1"/>
  <c r="X41" i="39"/>
  <c r="AA41" i="39" s="1"/>
  <c r="Z40" i="39"/>
  <c r="AC40" i="39" s="1"/>
  <c r="Y40" i="39"/>
  <c r="AB40" i="39" s="1"/>
  <c r="X40" i="39"/>
  <c r="AA40" i="39" s="1"/>
  <c r="Z39" i="39"/>
  <c r="AC39" i="39" s="1"/>
  <c r="Y39" i="39"/>
  <c r="AB39" i="39" s="1"/>
  <c r="X39" i="39"/>
  <c r="AA39" i="39" s="1"/>
  <c r="Z38" i="39"/>
  <c r="AC38" i="39" s="1"/>
  <c r="Y38" i="39"/>
  <c r="AB38" i="39" s="1"/>
  <c r="X38" i="39"/>
  <c r="AA38" i="39" s="1"/>
  <c r="Z37" i="39"/>
  <c r="AC37" i="39" s="1"/>
  <c r="Y37" i="39"/>
  <c r="AB37" i="39" s="1"/>
  <c r="X37" i="39"/>
  <c r="AA37" i="39" s="1"/>
  <c r="X36" i="39"/>
  <c r="AA36" i="39" s="1"/>
  <c r="Z35" i="39"/>
  <c r="AC35" i="39" s="1"/>
  <c r="Y35" i="39"/>
  <c r="AB35" i="39" s="1"/>
  <c r="X35" i="39"/>
  <c r="AA35" i="39" s="1"/>
  <c r="Z34" i="39"/>
  <c r="AC34" i="39" s="1"/>
  <c r="Y34" i="39"/>
  <c r="AB34" i="39" s="1"/>
  <c r="X34" i="39"/>
  <c r="AA34" i="39" s="1"/>
  <c r="Z33" i="39"/>
  <c r="AC33" i="39" s="1"/>
  <c r="Y33" i="39"/>
  <c r="AB33" i="39" s="1"/>
  <c r="X33" i="39"/>
  <c r="AA33" i="39" s="1"/>
  <c r="Z32" i="39"/>
  <c r="AC32" i="39" s="1"/>
  <c r="Y32" i="39"/>
  <c r="AB32" i="39" s="1"/>
  <c r="X32" i="39"/>
  <c r="AA32" i="39" s="1"/>
  <c r="Z31" i="39"/>
  <c r="AC31" i="39" s="1"/>
  <c r="Y31" i="39"/>
  <c r="AB31" i="39" s="1"/>
  <c r="X31" i="39"/>
  <c r="AA31" i="39" s="1"/>
  <c r="Z30" i="39"/>
  <c r="AC30" i="39" s="1"/>
  <c r="Y30" i="39"/>
  <c r="AB30" i="39" s="1"/>
  <c r="X30" i="39"/>
  <c r="AA30" i="39" s="1"/>
  <c r="Z29" i="39"/>
  <c r="AC29" i="39" s="1"/>
  <c r="Y29" i="39"/>
  <c r="AB29" i="39" s="1"/>
  <c r="X29" i="39"/>
  <c r="AA29" i="39" s="1"/>
  <c r="Z28" i="39"/>
  <c r="AC28" i="39" s="1"/>
  <c r="Y28" i="39"/>
  <c r="AB28" i="39" s="1"/>
  <c r="X28" i="39"/>
  <c r="AA28" i="39" s="1"/>
  <c r="Z27" i="39"/>
  <c r="AC27" i="39" s="1"/>
  <c r="Y27" i="39"/>
  <c r="AB27" i="39" s="1"/>
  <c r="X27" i="39"/>
  <c r="AA27" i="39" s="1"/>
  <c r="Z26" i="39"/>
  <c r="AC26" i="39" s="1"/>
  <c r="Y26" i="39"/>
  <c r="AB26" i="39" s="1"/>
  <c r="X26" i="39"/>
  <c r="Z25" i="39"/>
  <c r="AC25" i="39" s="1"/>
  <c r="Y25" i="39"/>
  <c r="AB25" i="39" s="1"/>
  <c r="X25" i="39"/>
  <c r="Z24" i="39"/>
  <c r="AC24" i="39" s="1"/>
  <c r="Y24" i="39"/>
  <c r="AB24" i="39" s="1"/>
  <c r="X24" i="39"/>
  <c r="Z23" i="39"/>
  <c r="AC23" i="39" s="1"/>
  <c r="Y23" i="39"/>
  <c r="AB23" i="39" s="1"/>
  <c r="X23" i="39"/>
  <c r="Z22" i="39"/>
  <c r="AC22" i="39" s="1"/>
  <c r="Y22" i="39"/>
  <c r="AB22" i="39" s="1"/>
  <c r="X22" i="39"/>
  <c r="Z21" i="39"/>
  <c r="AC21" i="39" s="1"/>
  <c r="Y21" i="39"/>
  <c r="AB21" i="39" s="1"/>
  <c r="X21" i="39"/>
  <c r="Z20" i="39"/>
  <c r="AC20" i="39" s="1"/>
  <c r="Y20" i="39"/>
  <c r="AB20" i="39" s="1"/>
  <c r="X20" i="39"/>
  <c r="Z19" i="39"/>
  <c r="AC19" i="39" s="1"/>
  <c r="Y19" i="39"/>
  <c r="AB19" i="39" s="1"/>
  <c r="X19" i="39"/>
  <c r="Z18" i="39"/>
  <c r="AC18" i="39" s="1"/>
  <c r="Y18" i="39"/>
  <c r="AB18" i="39" s="1"/>
  <c r="X18" i="39"/>
  <c r="Z17" i="39"/>
  <c r="AC17" i="39" s="1"/>
  <c r="Y17" i="39"/>
  <c r="AB17" i="39" s="1"/>
  <c r="X17" i="39"/>
  <c r="Z16" i="39"/>
  <c r="Y16" i="39"/>
  <c r="AB16" i="39" s="1"/>
  <c r="X16" i="39"/>
  <c r="Z15" i="39"/>
  <c r="AC15" i="39" s="1"/>
  <c r="Y15" i="39"/>
  <c r="AB15" i="39" s="1"/>
  <c r="X15" i="39"/>
  <c r="Z14" i="39"/>
  <c r="AC14" i="39" s="1"/>
  <c r="Y14" i="39"/>
  <c r="AB14" i="39" s="1"/>
  <c r="X14" i="39"/>
  <c r="X13" i="39"/>
  <c r="X12" i="39"/>
  <c r="H15" i="22"/>
  <c r="F16" i="22"/>
  <c r="F15" i="22"/>
  <c r="G4" i="50" s="1"/>
  <c r="AA15" i="39" l="1"/>
  <c r="AH15" i="39"/>
  <c r="AP5" i="53" s="1"/>
  <c r="AA19" i="39"/>
  <c r="AH19" i="39"/>
  <c r="AP9" i="53" s="1"/>
  <c r="AA23" i="39"/>
  <c r="AH23" i="39"/>
  <c r="AP13" i="53" s="1"/>
  <c r="AA13" i="39"/>
  <c r="AA14" i="39"/>
  <c r="AH14" i="39"/>
  <c r="AP4" i="53" s="1"/>
  <c r="AA16" i="39"/>
  <c r="AH16" i="39"/>
  <c r="AP6" i="53" s="1"/>
  <c r="AA20" i="39"/>
  <c r="AH20" i="39"/>
  <c r="AP10" i="53" s="1"/>
  <c r="AA24" i="39"/>
  <c r="AH24" i="39"/>
  <c r="AP14" i="53" s="1"/>
  <c r="AA21" i="39"/>
  <c r="AH21" i="39"/>
  <c r="AP11" i="53" s="1"/>
  <c r="AA25" i="39"/>
  <c r="AH25" i="39"/>
  <c r="AP15" i="53" s="1"/>
  <c r="AA18" i="39"/>
  <c r="AH18" i="39"/>
  <c r="AP8" i="53" s="1"/>
  <c r="AA22" i="39"/>
  <c r="AH22" i="39"/>
  <c r="AP12" i="53" s="1"/>
  <c r="AA26" i="39"/>
  <c r="AH26" i="39"/>
  <c r="AP16" i="53" s="1"/>
  <c r="AA17" i="39"/>
  <c r="AH17" i="39"/>
  <c r="AP7" i="53" s="1"/>
  <c r="AC16" i="39"/>
  <c r="AJ6" i="53" s="1"/>
  <c r="Z6" i="53"/>
  <c r="X42" i="39"/>
  <c r="AA12" i="39"/>
  <c r="W52" i="59"/>
  <c r="W53" i="59"/>
  <c r="W54" i="59"/>
  <c r="W55" i="59"/>
  <c r="W56" i="59"/>
  <c r="W57" i="59"/>
  <c r="W58" i="59"/>
  <c r="W59" i="59"/>
  <c r="W60" i="59"/>
  <c r="W61" i="59"/>
  <c r="W62" i="59"/>
  <c r="W63" i="59"/>
  <c r="W64" i="59"/>
  <c r="W65" i="59"/>
  <c r="W66" i="59"/>
  <c r="W67" i="59"/>
  <c r="W68" i="59"/>
  <c r="W69" i="59"/>
  <c r="W70" i="59"/>
  <c r="W71" i="59"/>
  <c r="W72" i="59"/>
  <c r="W73" i="59"/>
  <c r="W45" i="59"/>
  <c r="W46" i="59"/>
  <c r="W47" i="59"/>
  <c r="W48" i="59"/>
  <c r="W49" i="59"/>
  <c r="W50" i="59"/>
  <c r="W51" i="59"/>
  <c r="W44" i="59"/>
  <c r="J58" i="58" l="1"/>
  <c r="D44" i="56"/>
  <c r="E44" i="56"/>
  <c r="D45" i="56"/>
  <c r="E45" i="56"/>
  <c r="D46" i="56"/>
  <c r="E46" i="56"/>
  <c r="D47" i="56"/>
  <c r="E47" i="56"/>
  <c r="D48" i="56"/>
  <c r="E48" i="56"/>
  <c r="D49" i="56"/>
  <c r="E49" i="56"/>
  <c r="D50" i="56"/>
  <c r="E50" i="56"/>
  <c r="D51" i="56"/>
  <c r="E51" i="56"/>
  <c r="D53" i="56"/>
  <c r="E53" i="56"/>
  <c r="D54" i="56"/>
  <c r="E54" i="56"/>
  <c r="D55" i="56"/>
  <c r="E55" i="56"/>
  <c r="D56" i="56"/>
  <c r="E56" i="56"/>
  <c r="D57" i="56"/>
  <c r="E57" i="56"/>
  <c r="C38" i="64"/>
  <c r="C38" i="58"/>
  <c r="P44" i="65"/>
  <c r="F2" i="60"/>
  <c r="F29" i="56"/>
  <c r="F30" i="56"/>
  <c r="F31" i="56"/>
  <c r="F32" i="56"/>
  <c r="F33" i="56"/>
  <c r="F34" i="56"/>
  <c r="F35" i="56"/>
  <c r="F36" i="56"/>
  <c r="F37" i="56"/>
  <c r="F38" i="56"/>
  <c r="F39" i="56"/>
  <c r="F40" i="56"/>
  <c r="F41" i="56"/>
  <c r="F42" i="56"/>
  <c r="F43" i="56"/>
  <c r="F44" i="56"/>
  <c r="F45" i="56"/>
  <c r="F46" i="56"/>
  <c r="F47" i="56"/>
  <c r="F48" i="56"/>
  <c r="F49" i="56"/>
  <c r="F50" i="56"/>
  <c r="F51" i="56"/>
  <c r="F52" i="56"/>
  <c r="F53" i="56"/>
  <c r="F54" i="56"/>
  <c r="F55" i="56"/>
  <c r="F56" i="56"/>
  <c r="F57" i="56"/>
  <c r="F28" i="56"/>
  <c r="P25" i="65" l="1"/>
  <c r="P30" i="65" l="1"/>
  <c r="I52" i="57"/>
  <c r="O40" i="36" l="1"/>
  <c r="O39" i="36"/>
  <c r="O38" i="36"/>
  <c r="O37" i="36"/>
  <c r="O36" i="36"/>
  <c r="O35" i="36"/>
  <c r="O34" i="36"/>
  <c r="AV3" i="53" l="1"/>
  <c r="AW3" i="53"/>
  <c r="AV4" i="53"/>
  <c r="AW4" i="53"/>
  <c r="AV5" i="53"/>
  <c r="AW5" i="53"/>
  <c r="AV6" i="53"/>
  <c r="AW6" i="53"/>
  <c r="AV7" i="53"/>
  <c r="AW7" i="53"/>
  <c r="AV8" i="53"/>
  <c r="AW8" i="53"/>
  <c r="AV9" i="53"/>
  <c r="AW9" i="53"/>
  <c r="AV10" i="53"/>
  <c r="AW10" i="53"/>
  <c r="AV11" i="53"/>
  <c r="AW11" i="53"/>
  <c r="AV12" i="53"/>
  <c r="AW12" i="53"/>
  <c r="AV13" i="53"/>
  <c r="AW13" i="53"/>
  <c r="AV14" i="53"/>
  <c r="AW14" i="53"/>
  <c r="AV15" i="53"/>
  <c r="AW15" i="53"/>
  <c r="AV16" i="53"/>
  <c r="AW16" i="53"/>
  <c r="AV17" i="53"/>
  <c r="AW17" i="53"/>
  <c r="AV18" i="53"/>
  <c r="AW18" i="53"/>
  <c r="AV19" i="53"/>
  <c r="AW19" i="53"/>
  <c r="AV20" i="53"/>
  <c r="AW20" i="53"/>
  <c r="AV21" i="53"/>
  <c r="AW21" i="53"/>
  <c r="AV22" i="53"/>
  <c r="AW22" i="53"/>
  <c r="AV23" i="53"/>
  <c r="AW23" i="53"/>
  <c r="AV24" i="53"/>
  <c r="AW24" i="53"/>
  <c r="AV25" i="53"/>
  <c r="AW25" i="53"/>
  <c r="AV26" i="53"/>
  <c r="AW26" i="53"/>
  <c r="AV27" i="53"/>
  <c r="AW27" i="53"/>
  <c r="AV28" i="53"/>
  <c r="AW28" i="53"/>
  <c r="AV29" i="53"/>
  <c r="AW29" i="53"/>
  <c r="AV30" i="53"/>
  <c r="AW30" i="53"/>
  <c r="AV31" i="53"/>
  <c r="AW31" i="53"/>
  <c r="AW2" i="53"/>
  <c r="AV2" i="53"/>
  <c r="K42" i="39"/>
  <c r="L42" i="39"/>
  <c r="M18" i="39"/>
  <c r="M19" i="39"/>
  <c r="M20" i="39"/>
  <c r="M21" i="39"/>
  <c r="M22" i="39"/>
  <c r="M23" i="39"/>
  <c r="M24" i="39"/>
  <c r="M25" i="39"/>
  <c r="M26" i="39"/>
  <c r="M27" i="39"/>
  <c r="M28" i="39"/>
  <c r="M29" i="39"/>
  <c r="M30" i="39"/>
  <c r="M31" i="39"/>
  <c r="M32" i="39"/>
  <c r="M33" i="39"/>
  <c r="M34" i="39"/>
  <c r="M35" i="39"/>
  <c r="M36" i="39"/>
  <c r="M37" i="39"/>
  <c r="M38" i="39"/>
  <c r="M39" i="39"/>
  <c r="S55" i="56" s="1"/>
  <c r="M40" i="39"/>
  <c r="M41" i="39"/>
  <c r="M17" i="39"/>
  <c r="M16" i="39"/>
  <c r="M15" i="39"/>
  <c r="M14" i="39"/>
  <c r="M13" i="39"/>
  <c r="A61" i="56"/>
  <c r="A62" i="56"/>
  <c r="A63" i="56"/>
  <c r="A64" i="56"/>
  <c r="A65" i="56"/>
  <c r="A66" i="56"/>
  <c r="A67" i="56"/>
  <c r="A68" i="56"/>
  <c r="A69" i="56"/>
  <c r="A60" i="56"/>
  <c r="H28" i="56"/>
  <c r="H29" i="56"/>
  <c r="H30" i="56"/>
  <c r="H31" i="56"/>
  <c r="H32" i="56"/>
  <c r="H33" i="56"/>
  <c r="H34" i="56"/>
  <c r="H35" i="56"/>
  <c r="H36" i="56"/>
  <c r="H37" i="56"/>
  <c r="H38" i="56"/>
  <c r="H39" i="56"/>
  <c r="H40" i="56"/>
  <c r="H41" i="56"/>
  <c r="H42" i="56"/>
  <c r="H43" i="56"/>
  <c r="H44" i="56"/>
  <c r="H45" i="56"/>
  <c r="H46" i="56"/>
  <c r="H47" i="56"/>
  <c r="H48" i="56"/>
  <c r="H49" i="56"/>
  <c r="H50" i="56"/>
  <c r="H51" i="56"/>
  <c r="H52" i="56"/>
  <c r="H53" i="56"/>
  <c r="H54" i="56"/>
  <c r="H55" i="56"/>
  <c r="H56" i="56"/>
  <c r="H57" i="56"/>
  <c r="G50" i="56"/>
  <c r="G53" i="56"/>
  <c r="G54" i="56"/>
  <c r="G55" i="56"/>
  <c r="G56" i="56"/>
  <c r="G57" i="56"/>
  <c r="G45" i="56"/>
  <c r="G46" i="56"/>
  <c r="G47" i="56"/>
  <c r="G48" i="56"/>
  <c r="G49" i="56"/>
  <c r="B42" i="56"/>
  <c r="B43" i="56"/>
  <c r="B44" i="56"/>
  <c r="B45" i="56"/>
  <c r="B46" i="56"/>
  <c r="B47" i="56"/>
  <c r="B48" i="56"/>
  <c r="B49" i="56"/>
  <c r="B50" i="56"/>
  <c r="B51" i="56"/>
  <c r="B52" i="56"/>
  <c r="B53" i="56"/>
  <c r="B54" i="56"/>
  <c r="B55" i="56"/>
  <c r="B56" i="56"/>
  <c r="B57" i="56"/>
  <c r="B29" i="56"/>
  <c r="I29" i="56" s="1"/>
  <c r="B30" i="56"/>
  <c r="I30" i="56" s="1"/>
  <c r="B31" i="56"/>
  <c r="I31" i="56" s="1"/>
  <c r="B32" i="56"/>
  <c r="I32" i="56" s="1"/>
  <c r="B33" i="56"/>
  <c r="I33" i="56" s="1"/>
  <c r="B34" i="56"/>
  <c r="I34" i="56" s="1"/>
  <c r="B35" i="56"/>
  <c r="I35" i="56" s="1"/>
  <c r="B36" i="56"/>
  <c r="B37" i="56"/>
  <c r="B38" i="56"/>
  <c r="B39" i="56"/>
  <c r="B40" i="56"/>
  <c r="B41" i="56"/>
  <c r="B28" i="56"/>
  <c r="I28" i="56" s="1"/>
  <c r="G44" i="56"/>
  <c r="G51" i="56"/>
  <c r="G52" i="56"/>
  <c r="G43" i="56"/>
  <c r="G35" i="56"/>
  <c r="G34" i="56"/>
  <c r="G30" i="56"/>
  <c r="G39" i="56"/>
  <c r="G36" i="56"/>
  <c r="G31" i="56"/>
  <c r="G33" i="56"/>
  <c r="G41" i="56"/>
  <c r="G32" i="56"/>
  <c r="G42" i="56"/>
  <c r="G37" i="56"/>
  <c r="G40" i="56"/>
  <c r="G29" i="56"/>
  <c r="G28" i="56"/>
  <c r="G38" i="56"/>
  <c r="I42" i="56" l="1"/>
  <c r="I41" i="56"/>
  <c r="I40" i="56"/>
  <c r="S53" i="56"/>
  <c r="S41" i="56"/>
  <c r="S52" i="56"/>
  <c r="S51" i="56"/>
  <c r="S54" i="56"/>
  <c r="S50" i="56"/>
  <c r="S49" i="56"/>
  <c r="S48" i="56"/>
  <c r="S32" i="56"/>
  <c r="S47" i="56"/>
  <c r="S46" i="56"/>
  <c r="S57" i="56"/>
  <c r="S45" i="56"/>
  <c r="S56" i="56"/>
  <c r="S44" i="56"/>
  <c r="S28" i="56"/>
  <c r="S29" i="56"/>
  <c r="S30" i="56"/>
  <c r="S37" i="56"/>
  <c r="S31" i="56"/>
  <c r="S36" i="56"/>
  <c r="S35" i="56"/>
  <c r="S43" i="56"/>
  <c r="S33" i="56"/>
  <c r="S42" i="56"/>
  <c r="S34" i="56"/>
  <c r="S40" i="56"/>
  <c r="S39" i="56"/>
  <c r="S38" i="56"/>
  <c r="K2" i="53"/>
  <c r="N56" i="56"/>
  <c r="Q46" i="56"/>
  <c r="Q54" i="56"/>
  <c r="Q40" i="56"/>
  <c r="Q32" i="56"/>
  <c r="Q53" i="56"/>
  <c r="P45" i="56"/>
  <c r="P36" i="56"/>
  <c r="N35" i="56"/>
  <c r="O33" i="56"/>
  <c r="Q39" i="56"/>
  <c r="Q31" i="56"/>
  <c r="Q52" i="56"/>
  <c r="P44" i="56"/>
  <c r="O49" i="56"/>
  <c r="P30" i="56"/>
  <c r="N43" i="56"/>
  <c r="O57" i="56"/>
  <c r="N34" i="56"/>
  <c r="Q55" i="56"/>
  <c r="O41" i="56"/>
  <c r="P37" i="56"/>
  <c r="P29" i="56"/>
  <c r="N50" i="56"/>
  <c r="N42" i="56"/>
  <c r="P38" i="56"/>
  <c r="N28" i="56"/>
  <c r="N51" i="56"/>
  <c r="M42" i="39"/>
  <c r="Q48" i="56"/>
  <c r="O48" i="56"/>
  <c r="Q51" i="56"/>
  <c r="L53" i="56"/>
  <c r="L45" i="56"/>
  <c r="L52" i="56"/>
  <c r="L51" i="56"/>
  <c r="L43" i="56"/>
  <c r="O45" i="56"/>
  <c r="L50" i="56"/>
  <c r="L42" i="56"/>
  <c r="O32" i="56"/>
  <c r="L57" i="56"/>
  <c r="L49" i="56"/>
  <c r="L41" i="56"/>
  <c r="L56" i="56"/>
  <c r="L48" i="56"/>
  <c r="L40" i="56"/>
  <c r="P35" i="56"/>
  <c r="L55" i="56"/>
  <c r="L47" i="56"/>
  <c r="P32" i="56"/>
  <c r="L54" i="56"/>
  <c r="L46" i="56"/>
  <c r="Q28" i="56"/>
  <c r="O40" i="56"/>
  <c r="P56" i="56"/>
  <c r="Q43" i="56"/>
  <c r="N38" i="56"/>
  <c r="O37" i="56"/>
  <c r="P51" i="56"/>
  <c r="Q38" i="56"/>
  <c r="N30" i="56"/>
  <c r="P48" i="56"/>
  <c r="Q35" i="56"/>
  <c r="O29" i="56"/>
  <c r="P43" i="56"/>
  <c r="Q30" i="56"/>
  <c r="O56" i="56"/>
  <c r="P40" i="56"/>
  <c r="Q56" i="56"/>
  <c r="O53" i="56"/>
  <c r="P50" i="56"/>
  <c r="P42" i="56"/>
  <c r="P34" i="56"/>
  <c r="Q45" i="56"/>
  <c r="Q37" i="56"/>
  <c r="Q29" i="56"/>
  <c r="Q50" i="56"/>
  <c r="N48" i="56"/>
  <c r="N40" i="56"/>
  <c r="N32" i="56"/>
  <c r="O55" i="56"/>
  <c r="O47" i="56"/>
  <c r="O39" i="56"/>
  <c r="O31" i="56"/>
  <c r="N57" i="56"/>
  <c r="N49" i="56"/>
  <c r="N41" i="56"/>
  <c r="N33" i="56"/>
  <c r="P57" i="56"/>
  <c r="P49" i="56"/>
  <c r="P41" i="56"/>
  <c r="P33" i="56"/>
  <c r="Q44" i="56"/>
  <c r="Q36" i="56"/>
  <c r="Q57" i="56"/>
  <c r="Q49" i="56"/>
  <c r="N55" i="56"/>
  <c r="N47" i="56"/>
  <c r="N39" i="56"/>
  <c r="N31" i="56"/>
  <c r="O54" i="56"/>
  <c r="O46" i="56"/>
  <c r="O38" i="56"/>
  <c r="O30" i="56"/>
  <c r="N54" i="56"/>
  <c r="N46" i="56"/>
  <c r="P55" i="56"/>
  <c r="P47" i="56"/>
  <c r="P39" i="56"/>
  <c r="P31" i="56"/>
  <c r="Q42" i="56"/>
  <c r="Q34" i="56"/>
  <c r="Q47" i="56"/>
  <c r="N53" i="56"/>
  <c r="N45" i="56"/>
  <c r="N37" i="56"/>
  <c r="N29" i="56"/>
  <c r="O52" i="56"/>
  <c r="O44" i="56"/>
  <c r="O36" i="56"/>
  <c r="P54" i="56"/>
  <c r="P46" i="56"/>
  <c r="Q41" i="56"/>
  <c r="Q33" i="56"/>
  <c r="N52" i="56"/>
  <c r="N44" i="56"/>
  <c r="N36" i="56"/>
  <c r="O51" i="56"/>
  <c r="O43" i="56"/>
  <c r="O35" i="56"/>
  <c r="P53" i="56"/>
  <c r="O28" i="56"/>
  <c r="O50" i="56"/>
  <c r="O42" i="56"/>
  <c r="O34" i="56"/>
  <c r="P52" i="56"/>
  <c r="P28" i="56"/>
  <c r="M4" i="63"/>
  <c r="M3" i="63"/>
  <c r="M2" i="63"/>
  <c r="W42" i="39" l="1"/>
  <c r="V42" i="39"/>
  <c r="U42" i="39"/>
  <c r="T42" i="39"/>
  <c r="R42" i="39"/>
  <c r="Q42" i="39"/>
  <c r="O42" i="39"/>
  <c r="N42" i="39"/>
  <c r="I46" i="57" l="1"/>
  <c r="F16" i="59" l="1"/>
  <c r="E53" i="39" l="1"/>
  <c r="D54" i="39"/>
  <c r="AH54" i="39" l="1"/>
  <c r="E4" i="62"/>
  <c r="AP4" i="62"/>
  <c r="AQ4" i="62"/>
  <c r="AI54" i="39"/>
  <c r="AK4" i="62"/>
  <c r="AB4" i="62"/>
  <c r="AL4" i="62"/>
  <c r="AN4" i="62"/>
  <c r="AU4" i="62"/>
  <c r="AA4" i="62"/>
  <c r="AM4" i="62"/>
  <c r="Z4" i="62"/>
  <c r="AJ4" i="62"/>
  <c r="F62" i="56"/>
  <c r="E62" i="56"/>
  <c r="D62" i="56"/>
  <c r="AV4" i="62"/>
  <c r="M54" i="39"/>
  <c r="AW4" i="62"/>
  <c r="H62" i="56"/>
  <c r="B61" i="56"/>
  <c r="D59" i="39"/>
  <c r="J52" i="39"/>
  <c r="E61" i="39"/>
  <c r="D61" i="39"/>
  <c r="E60" i="39"/>
  <c r="D60" i="39"/>
  <c r="E59" i="39"/>
  <c r="E58" i="39"/>
  <c r="D58" i="39"/>
  <c r="E57" i="39"/>
  <c r="D57" i="39"/>
  <c r="E56" i="39"/>
  <c r="D56" i="39"/>
  <c r="E55" i="39"/>
  <c r="D55" i="39"/>
  <c r="E54" i="39"/>
  <c r="D53" i="39"/>
  <c r="E52" i="39"/>
  <c r="D52" i="39"/>
  <c r="G61" i="56"/>
  <c r="AH57" i="39" l="1"/>
  <c r="E7" i="62"/>
  <c r="AH59" i="39"/>
  <c r="E9" i="62"/>
  <c r="AH60" i="39"/>
  <c r="E10" i="62"/>
  <c r="AH56" i="39"/>
  <c r="E6" i="62"/>
  <c r="AH53" i="39"/>
  <c r="E3" i="62"/>
  <c r="E2" i="62"/>
  <c r="AH61" i="39"/>
  <c r="E11" i="62"/>
  <c r="AH58" i="39"/>
  <c r="E8" i="62"/>
  <c r="AH55" i="39"/>
  <c r="E5" i="62"/>
  <c r="I61" i="56"/>
  <c r="AI56" i="39"/>
  <c r="AP6" i="62"/>
  <c r="AQ6" i="62"/>
  <c r="AI55" i="39"/>
  <c r="AP5" i="62"/>
  <c r="AQ5" i="62"/>
  <c r="AI57" i="39"/>
  <c r="AP7" i="62"/>
  <c r="AQ7" i="62"/>
  <c r="AP10" i="62"/>
  <c r="AI60" i="39"/>
  <c r="AQ10" i="62"/>
  <c r="AI58" i="39"/>
  <c r="AQ8" i="62"/>
  <c r="AP8" i="62"/>
  <c r="AP9" i="62"/>
  <c r="AQ9" i="62"/>
  <c r="AI59" i="39"/>
  <c r="AP3" i="62"/>
  <c r="AQ3" i="62"/>
  <c r="AI53" i="39"/>
  <c r="AQ11" i="62"/>
  <c r="AI61" i="39"/>
  <c r="AP11" i="62"/>
  <c r="R62" i="56"/>
  <c r="AU6" i="62"/>
  <c r="AL6" i="62"/>
  <c r="AN6" i="62"/>
  <c r="Z6" i="62"/>
  <c r="AJ6" i="62"/>
  <c r="AA6" i="62"/>
  <c r="AM6" i="62"/>
  <c r="AK6" i="62"/>
  <c r="AB6" i="62"/>
  <c r="F61" i="56"/>
  <c r="Z5" i="62"/>
  <c r="AK5" i="62"/>
  <c r="AB5" i="62"/>
  <c r="AJ5" i="62"/>
  <c r="AA5" i="62"/>
  <c r="AU5" i="62"/>
  <c r="AM5" i="62"/>
  <c r="AL5" i="62"/>
  <c r="AN5" i="62"/>
  <c r="AM7" i="62"/>
  <c r="AJ7" i="62"/>
  <c r="AA7" i="62"/>
  <c r="AN7" i="62"/>
  <c r="AK7" i="62"/>
  <c r="AB7" i="62"/>
  <c r="AU7" i="62"/>
  <c r="AL7" i="62"/>
  <c r="Z7" i="62"/>
  <c r="AU8" i="62"/>
  <c r="AN8" i="62"/>
  <c r="AJ8" i="62"/>
  <c r="AA8" i="62"/>
  <c r="AM8" i="62"/>
  <c r="Z8" i="62"/>
  <c r="AK8" i="62"/>
  <c r="AB8" i="62"/>
  <c r="AL8" i="62"/>
  <c r="Z10" i="62"/>
  <c r="AJ10" i="62"/>
  <c r="AA10" i="62"/>
  <c r="AL10" i="62"/>
  <c r="AN10" i="62"/>
  <c r="AK10" i="62"/>
  <c r="AB10" i="62"/>
  <c r="AM10" i="62"/>
  <c r="AU10" i="62"/>
  <c r="AM11" i="62"/>
  <c r="AN11" i="62"/>
  <c r="Z11" i="62"/>
  <c r="AJ11" i="62"/>
  <c r="AA11" i="62"/>
  <c r="AK11" i="62"/>
  <c r="AB11" i="62"/>
  <c r="AU11" i="62"/>
  <c r="AL11" i="62"/>
  <c r="F68" i="56"/>
  <c r="D68" i="56"/>
  <c r="E68" i="56"/>
  <c r="F67" i="56"/>
  <c r="F64" i="56"/>
  <c r="D64" i="56"/>
  <c r="E64" i="56"/>
  <c r="F66" i="56"/>
  <c r="D66" i="56"/>
  <c r="E66" i="56"/>
  <c r="F63" i="56"/>
  <c r="D63" i="56"/>
  <c r="E63" i="56"/>
  <c r="F69" i="56"/>
  <c r="D69" i="56"/>
  <c r="E69" i="56"/>
  <c r="F65" i="56"/>
  <c r="D65" i="56"/>
  <c r="E65" i="56"/>
  <c r="F60" i="56"/>
  <c r="AW2" i="62"/>
  <c r="AV2" i="62"/>
  <c r="M52" i="39"/>
  <c r="M58" i="39"/>
  <c r="AV8" i="62"/>
  <c r="AW8" i="62"/>
  <c r="AV5" i="62"/>
  <c r="AW5" i="62"/>
  <c r="M55" i="39"/>
  <c r="AV7" i="62"/>
  <c r="M57" i="39"/>
  <c r="AW7" i="62"/>
  <c r="AV3" i="62"/>
  <c r="AW3" i="62"/>
  <c r="M53" i="39"/>
  <c r="S61" i="56" s="1"/>
  <c r="M59" i="39"/>
  <c r="AV9" i="62"/>
  <c r="AW9" i="62"/>
  <c r="M60" i="39"/>
  <c r="AW10" i="62"/>
  <c r="AV10" i="62"/>
  <c r="AW6" i="62"/>
  <c r="AV6" i="62"/>
  <c r="M56" i="39"/>
  <c r="AV11" i="62"/>
  <c r="AW11" i="62"/>
  <c r="M61" i="39"/>
  <c r="H66" i="56"/>
  <c r="H67" i="56"/>
  <c r="B62" i="56"/>
  <c r="I62" i="56" s="1"/>
  <c r="B66" i="56"/>
  <c r="I66" i="56" s="1"/>
  <c r="G66" i="56"/>
  <c r="B67" i="56"/>
  <c r="I67" i="56" s="1"/>
  <c r="H68" i="56"/>
  <c r="H63" i="56"/>
  <c r="H64" i="56"/>
  <c r="G68" i="56"/>
  <c r="B68" i="56"/>
  <c r="I68" i="56" s="1"/>
  <c r="B65" i="56"/>
  <c r="I65" i="56" s="1"/>
  <c r="G65" i="56"/>
  <c r="G64" i="56"/>
  <c r="B64" i="56"/>
  <c r="I64" i="56" s="1"/>
  <c r="B63" i="56"/>
  <c r="I63" i="56" s="1"/>
  <c r="G63" i="56"/>
  <c r="H65" i="56"/>
  <c r="H61" i="56"/>
  <c r="N61" i="56"/>
  <c r="O61" i="56"/>
  <c r="P61" i="56"/>
  <c r="Q61" i="56"/>
  <c r="H69" i="56"/>
  <c r="B69" i="56"/>
  <c r="I69" i="56" s="1"/>
  <c r="B60" i="56"/>
  <c r="I60" i="56" s="1"/>
  <c r="H60" i="56"/>
  <c r="P52" i="39"/>
  <c r="G62" i="56"/>
  <c r="G69" i="56"/>
  <c r="G67" i="56"/>
  <c r="G60" i="56"/>
  <c r="S63" i="56" l="1"/>
  <c r="S62" i="56"/>
  <c r="S64" i="56"/>
  <c r="S67" i="56"/>
  <c r="S66" i="56"/>
  <c r="S69" i="56"/>
  <c r="S68" i="56"/>
  <c r="S65" i="56"/>
  <c r="S60" i="56"/>
  <c r="R63" i="56"/>
  <c r="R66" i="56"/>
  <c r="R67" i="56"/>
  <c r="R64" i="56"/>
  <c r="R69" i="56"/>
  <c r="R68" i="56"/>
  <c r="R65" i="56"/>
  <c r="R60" i="56"/>
  <c r="R61" i="56"/>
  <c r="K2" i="62"/>
  <c r="N63" i="56"/>
  <c r="O63" i="56"/>
  <c r="P63" i="56"/>
  <c r="Q63" i="56"/>
  <c r="Q68" i="56"/>
  <c r="O68" i="56"/>
  <c r="P68" i="56"/>
  <c r="N68" i="56"/>
  <c r="N67" i="56"/>
  <c r="P67" i="56"/>
  <c r="Q67" i="56"/>
  <c r="O67" i="56"/>
  <c r="P62" i="56"/>
  <c r="N62" i="56"/>
  <c r="O62" i="56"/>
  <c r="Q62" i="56"/>
  <c r="Q64" i="56"/>
  <c r="P64" i="56"/>
  <c r="N64" i="56"/>
  <c r="O64" i="56"/>
  <c r="P66" i="56"/>
  <c r="N66" i="56"/>
  <c r="O66" i="56"/>
  <c r="Q66" i="56"/>
  <c r="P65" i="56"/>
  <c r="N65" i="56"/>
  <c r="Q65" i="56"/>
  <c r="O65" i="56"/>
  <c r="N69" i="56"/>
  <c r="O69" i="56"/>
  <c r="P69" i="56"/>
  <c r="Q69" i="56"/>
  <c r="Q60" i="56"/>
  <c r="N60" i="56"/>
  <c r="O60" i="56"/>
  <c r="P60" i="56"/>
  <c r="C75" i="59"/>
  <c r="E55" i="22"/>
  <c r="E56" i="22"/>
  <c r="E57" i="22"/>
  <c r="E58" i="22"/>
  <c r="E59" i="22"/>
  <c r="E60" i="22"/>
  <c r="E61" i="22"/>
  <c r="E62" i="22"/>
  <c r="E63" i="22"/>
  <c r="E64" i="22"/>
  <c r="E65" i="22"/>
  <c r="E66" i="22"/>
  <c r="E67" i="22"/>
  <c r="E68" i="22"/>
  <c r="E69" i="22"/>
  <c r="E70" i="22"/>
  <c r="E71" i="22"/>
  <c r="E72" i="22"/>
  <c r="E73" i="22"/>
  <c r="E74" i="22"/>
  <c r="B55" i="22"/>
  <c r="C55" i="22"/>
  <c r="B56" i="22"/>
  <c r="C56" i="22"/>
  <c r="B57" i="22"/>
  <c r="C57" i="22"/>
  <c r="B58" i="22"/>
  <c r="C58" i="22"/>
  <c r="B59" i="22"/>
  <c r="C59" i="22"/>
  <c r="B60" i="22"/>
  <c r="C60" i="22"/>
  <c r="B61" i="22"/>
  <c r="C61" i="22"/>
  <c r="B62" i="22"/>
  <c r="C62" i="22"/>
  <c r="B63" i="22"/>
  <c r="C63" i="22"/>
  <c r="B64" i="22"/>
  <c r="C64" i="22"/>
  <c r="B65" i="22"/>
  <c r="C65" i="22"/>
  <c r="B66" i="22"/>
  <c r="C66" i="22"/>
  <c r="B67" i="22"/>
  <c r="C67" i="22"/>
  <c r="B68" i="22"/>
  <c r="C68" i="22"/>
  <c r="B69" i="22"/>
  <c r="C69" i="22"/>
  <c r="B70" i="22"/>
  <c r="C70" i="22"/>
  <c r="B71" i="22"/>
  <c r="C71" i="22"/>
  <c r="B72" i="22"/>
  <c r="C72" i="22"/>
  <c r="B73" i="22"/>
  <c r="C73" i="22"/>
  <c r="B74" i="22"/>
  <c r="C74" i="22"/>
  <c r="B21" i="53"/>
  <c r="B22" i="53"/>
  <c r="B23" i="53"/>
  <c r="B24" i="53"/>
  <c r="B25" i="53"/>
  <c r="B26" i="53"/>
  <c r="B27" i="53"/>
  <c r="B28" i="53"/>
  <c r="B29" i="53"/>
  <c r="B30" i="53"/>
  <c r="B31" i="53"/>
  <c r="C124" i="64" l="1"/>
  <c r="J52" i="58"/>
  <c r="D53" i="55" l="1"/>
  <c r="D52" i="55"/>
  <c r="D51" i="55"/>
  <c r="D50" i="55"/>
  <c r="D49" i="55"/>
  <c r="D48" i="55"/>
  <c r="D47" i="55"/>
  <c r="D46" i="55"/>
  <c r="D45" i="55"/>
  <c r="D44" i="55"/>
  <c r="D43" i="55"/>
  <c r="L24" i="21"/>
  <c r="L25" i="21"/>
  <c r="L26" i="21"/>
  <c r="L27" i="21"/>
  <c r="L28" i="21"/>
  <c r="L29" i="21"/>
  <c r="L30" i="21"/>
  <c r="L31" i="21"/>
  <c r="L32" i="21"/>
  <c r="L33" i="21"/>
  <c r="C29" i="54"/>
  <c r="J29" i="54" s="1"/>
  <c r="D29" i="54"/>
  <c r="E29" i="54"/>
  <c r="F29" i="54"/>
  <c r="C30" i="54"/>
  <c r="J30" i="54" s="1"/>
  <c r="D30" i="54"/>
  <c r="E30" i="54"/>
  <c r="F30" i="54"/>
  <c r="C31" i="54"/>
  <c r="J31" i="54" s="1"/>
  <c r="D31" i="54"/>
  <c r="E31" i="54"/>
  <c r="F31" i="54"/>
  <c r="C32" i="54"/>
  <c r="J32" i="54" s="1"/>
  <c r="D32" i="54"/>
  <c r="E32" i="54"/>
  <c r="F32" i="54"/>
  <c r="C33" i="54"/>
  <c r="J33" i="54" s="1"/>
  <c r="D33" i="54"/>
  <c r="E33" i="54"/>
  <c r="F33" i="54"/>
  <c r="C34" i="54"/>
  <c r="J34" i="54" s="1"/>
  <c r="D34" i="54"/>
  <c r="E34" i="54"/>
  <c r="F34" i="54"/>
  <c r="C35" i="54"/>
  <c r="J35" i="54" s="1"/>
  <c r="D35" i="54"/>
  <c r="E35" i="54"/>
  <c r="F35" i="54"/>
  <c r="C36" i="54"/>
  <c r="J36" i="54" s="1"/>
  <c r="D36" i="54"/>
  <c r="E36" i="54"/>
  <c r="F36" i="54"/>
  <c r="C37" i="54"/>
  <c r="J37" i="54" s="1"/>
  <c r="D37" i="54"/>
  <c r="E37" i="54"/>
  <c r="F37" i="54"/>
  <c r="C38" i="54"/>
  <c r="J38" i="54" s="1"/>
  <c r="D38" i="54"/>
  <c r="E38" i="54"/>
  <c r="F38" i="54"/>
  <c r="C39" i="54"/>
  <c r="J39" i="54" s="1"/>
  <c r="D39" i="54"/>
  <c r="E39" i="54"/>
  <c r="F39" i="54"/>
  <c r="C30" i="42"/>
  <c r="K30" i="42" s="1"/>
  <c r="D30" i="42"/>
  <c r="E30" i="42"/>
  <c r="F30" i="42"/>
  <c r="G30" i="42"/>
  <c r="C31" i="42"/>
  <c r="K31" i="42" s="1"/>
  <c r="D31" i="42"/>
  <c r="E31" i="42"/>
  <c r="F31" i="42"/>
  <c r="G31" i="42"/>
  <c r="C32" i="42"/>
  <c r="K32" i="42" s="1"/>
  <c r="D32" i="42"/>
  <c r="E32" i="42"/>
  <c r="F32" i="42"/>
  <c r="G32" i="42"/>
  <c r="C33" i="42"/>
  <c r="K33" i="42" s="1"/>
  <c r="D33" i="42"/>
  <c r="E33" i="42"/>
  <c r="F33" i="42"/>
  <c r="G33" i="42"/>
  <c r="C34" i="42"/>
  <c r="K34" i="42" s="1"/>
  <c r="D34" i="42"/>
  <c r="E34" i="42"/>
  <c r="F34" i="42"/>
  <c r="G34" i="42"/>
  <c r="C35" i="42"/>
  <c r="K35" i="42" s="1"/>
  <c r="D35" i="42"/>
  <c r="E35" i="42"/>
  <c r="F35" i="42"/>
  <c r="G35" i="42"/>
  <c r="C36" i="42"/>
  <c r="K36" i="42" s="1"/>
  <c r="D36" i="42"/>
  <c r="E36" i="42"/>
  <c r="F36" i="42"/>
  <c r="G36" i="42"/>
  <c r="C37" i="42"/>
  <c r="K37" i="42" s="1"/>
  <c r="D37" i="42"/>
  <c r="E37" i="42"/>
  <c r="F37" i="42"/>
  <c r="G37" i="42"/>
  <c r="C38" i="42"/>
  <c r="K38" i="42" s="1"/>
  <c r="D38" i="42"/>
  <c r="E38" i="42"/>
  <c r="F38" i="42"/>
  <c r="G38" i="42"/>
  <c r="C39" i="42"/>
  <c r="K39" i="42" s="1"/>
  <c r="D39" i="42"/>
  <c r="E39" i="42"/>
  <c r="F39" i="42"/>
  <c r="G39" i="42"/>
  <c r="C40" i="42"/>
  <c r="K40" i="42" s="1"/>
  <c r="D40" i="42"/>
  <c r="E40" i="42"/>
  <c r="F40" i="42"/>
  <c r="G40" i="42"/>
  <c r="N73" i="59" l="1"/>
  <c r="O73" i="59"/>
  <c r="L73" i="59"/>
  <c r="K73" i="59"/>
  <c r="J73" i="59"/>
  <c r="E73" i="59"/>
  <c r="D73" i="59"/>
  <c r="D63" i="59"/>
  <c r="E63" i="59"/>
  <c r="J63" i="59"/>
  <c r="K63" i="59"/>
  <c r="L63" i="59"/>
  <c r="N63" i="59"/>
  <c r="O63" i="59"/>
  <c r="D64" i="59"/>
  <c r="E64" i="59"/>
  <c r="J64" i="59"/>
  <c r="K64" i="59"/>
  <c r="L64" i="59"/>
  <c r="N64" i="59"/>
  <c r="O64" i="59"/>
  <c r="D65" i="59"/>
  <c r="E65" i="59"/>
  <c r="J65" i="59"/>
  <c r="K65" i="59"/>
  <c r="L65" i="59"/>
  <c r="N65" i="59"/>
  <c r="O65" i="59"/>
  <c r="D66" i="59"/>
  <c r="E66" i="59"/>
  <c r="J66" i="59"/>
  <c r="K66" i="59"/>
  <c r="L66" i="59"/>
  <c r="N66" i="59"/>
  <c r="O66" i="59"/>
  <c r="D67" i="59"/>
  <c r="E67" i="59"/>
  <c r="J67" i="59"/>
  <c r="K67" i="59"/>
  <c r="L67" i="59"/>
  <c r="N67" i="59"/>
  <c r="O67" i="59"/>
  <c r="D68" i="59"/>
  <c r="E68" i="59"/>
  <c r="J68" i="59"/>
  <c r="K68" i="59"/>
  <c r="L68" i="59"/>
  <c r="N68" i="59"/>
  <c r="O68" i="59"/>
  <c r="D69" i="59"/>
  <c r="E69" i="59"/>
  <c r="J69" i="59"/>
  <c r="Z69" i="59" s="1"/>
  <c r="X69" i="59" s="1"/>
  <c r="K69" i="59"/>
  <c r="L69" i="59"/>
  <c r="N69" i="59"/>
  <c r="O69" i="59"/>
  <c r="D70" i="59"/>
  <c r="E70" i="59"/>
  <c r="J70" i="59"/>
  <c r="K70" i="59"/>
  <c r="L70" i="59"/>
  <c r="N70" i="59"/>
  <c r="O70" i="59"/>
  <c r="D71" i="59"/>
  <c r="E71" i="59"/>
  <c r="J71" i="59"/>
  <c r="K71" i="59"/>
  <c r="L71" i="59"/>
  <c r="N71" i="59"/>
  <c r="O71" i="59"/>
  <c r="D72" i="59"/>
  <c r="E72" i="59"/>
  <c r="J72" i="59"/>
  <c r="K72" i="59"/>
  <c r="L72" i="59"/>
  <c r="N72" i="59"/>
  <c r="O72" i="59"/>
  <c r="C22" i="53"/>
  <c r="D22" i="53"/>
  <c r="F22" i="53"/>
  <c r="G22" i="53"/>
  <c r="H22" i="53"/>
  <c r="I22" i="53"/>
  <c r="J22" i="53"/>
  <c r="K22" i="53"/>
  <c r="M22" i="53"/>
  <c r="N22" i="53"/>
  <c r="P22" i="53"/>
  <c r="Q22" i="53"/>
  <c r="T22" i="53"/>
  <c r="U22" i="53"/>
  <c r="V22" i="53"/>
  <c r="W22" i="53"/>
  <c r="X22" i="53"/>
  <c r="Y22" i="53"/>
  <c r="AD22" i="53"/>
  <c r="AE22" i="53"/>
  <c r="AF22" i="53"/>
  <c r="AG22" i="53"/>
  <c r="AH22" i="53"/>
  <c r="AI22" i="53"/>
  <c r="AR22" i="53"/>
  <c r="C23" i="53"/>
  <c r="D23" i="53"/>
  <c r="F23" i="53"/>
  <c r="G23" i="53"/>
  <c r="H23" i="53"/>
  <c r="I23" i="53"/>
  <c r="J23" i="53"/>
  <c r="K23" i="53"/>
  <c r="M23" i="53"/>
  <c r="N23" i="53"/>
  <c r="O23" i="53"/>
  <c r="L23" i="53" s="1"/>
  <c r="P23" i="53"/>
  <c r="Q23" i="53"/>
  <c r="R23" i="53"/>
  <c r="T23" i="53"/>
  <c r="U23" i="53"/>
  <c r="V23" i="53"/>
  <c r="W23" i="53"/>
  <c r="X23" i="53"/>
  <c r="Y23" i="53"/>
  <c r="AD23" i="53"/>
  <c r="AE23" i="53"/>
  <c r="AF23" i="53"/>
  <c r="AG23" i="53"/>
  <c r="AH23" i="53"/>
  <c r="AI23" i="53"/>
  <c r="C24" i="53"/>
  <c r="D24" i="53"/>
  <c r="F24" i="53"/>
  <c r="G24" i="53"/>
  <c r="H24" i="53"/>
  <c r="I24" i="53"/>
  <c r="J24" i="53"/>
  <c r="K24" i="53"/>
  <c r="M24" i="53"/>
  <c r="N24" i="53"/>
  <c r="P24" i="53"/>
  <c r="Q24" i="53"/>
  <c r="R24" i="53"/>
  <c r="T24" i="53"/>
  <c r="U24" i="53"/>
  <c r="V24" i="53"/>
  <c r="W24" i="53"/>
  <c r="X24" i="53"/>
  <c r="Y24" i="53"/>
  <c r="AD24" i="53"/>
  <c r="AE24" i="53"/>
  <c r="AF24" i="53"/>
  <c r="AG24" i="53"/>
  <c r="AH24" i="53"/>
  <c r="AI24" i="53"/>
  <c r="C25" i="53"/>
  <c r="D25" i="53"/>
  <c r="F25" i="53"/>
  <c r="G25" i="53"/>
  <c r="H25" i="53"/>
  <c r="I25" i="53"/>
  <c r="J25" i="53"/>
  <c r="K25" i="53"/>
  <c r="M25" i="53"/>
  <c r="N25" i="53"/>
  <c r="P25" i="53"/>
  <c r="Q25" i="53"/>
  <c r="T25" i="53"/>
  <c r="U25" i="53"/>
  <c r="V25" i="53"/>
  <c r="W25" i="53"/>
  <c r="X25" i="53"/>
  <c r="Y25" i="53"/>
  <c r="AD25" i="53"/>
  <c r="AE25" i="53"/>
  <c r="AF25" i="53"/>
  <c r="AG25" i="53"/>
  <c r="AH25" i="53"/>
  <c r="AI25" i="53"/>
  <c r="C26" i="53"/>
  <c r="D26" i="53"/>
  <c r="F26" i="53"/>
  <c r="G26" i="53"/>
  <c r="H26" i="53"/>
  <c r="I26" i="53"/>
  <c r="J26" i="53"/>
  <c r="K26" i="53"/>
  <c r="M26" i="53"/>
  <c r="N26" i="53"/>
  <c r="P26" i="53"/>
  <c r="Q26" i="53"/>
  <c r="C27" i="53"/>
  <c r="D27" i="53"/>
  <c r="F27" i="53"/>
  <c r="G27" i="53"/>
  <c r="H27" i="53"/>
  <c r="I27" i="53"/>
  <c r="J27" i="53"/>
  <c r="K27" i="53"/>
  <c r="M27" i="53"/>
  <c r="N27" i="53"/>
  <c r="P27" i="53"/>
  <c r="Q27" i="53"/>
  <c r="T27" i="53"/>
  <c r="U27" i="53"/>
  <c r="V27" i="53"/>
  <c r="W27" i="53"/>
  <c r="X27" i="53"/>
  <c r="Y27" i="53"/>
  <c r="AD27" i="53"/>
  <c r="AE27" i="53"/>
  <c r="AF27" i="53"/>
  <c r="AG27" i="53"/>
  <c r="AH27" i="53"/>
  <c r="AI27" i="53"/>
  <c r="C28" i="53"/>
  <c r="D28" i="53"/>
  <c r="F28" i="53"/>
  <c r="G28" i="53"/>
  <c r="H28" i="53"/>
  <c r="I28" i="53"/>
  <c r="J28" i="53"/>
  <c r="K28" i="53"/>
  <c r="M28" i="53"/>
  <c r="N28" i="53"/>
  <c r="P28" i="53"/>
  <c r="Q28" i="53"/>
  <c r="T28" i="53"/>
  <c r="U28" i="53"/>
  <c r="V28" i="53"/>
  <c r="W28" i="53"/>
  <c r="X28" i="53"/>
  <c r="Y28" i="53"/>
  <c r="AD28" i="53"/>
  <c r="AE28" i="53"/>
  <c r="AF28" i="53"/>
  <c r="AG28" i="53"/>
  <c r="AH28" i="53"/>
  <c r="AI28" i="53"/>
  <c r="C29" i="53"/>
  <c r="D29" i="53"/>
  <c r="F29" i="53"/>
  <c r="G29" i="53"/>
  <c r="H29" i="53"/>
  <c r="I29" i="53"/>
  <c r="J29" i="53"/>
  <c r="K29" i="53"/>
  <c r="M29" i="53"/>
  <c r="N29" i="53"/>
  <c r="P29" i="53"/>
  <c r="Q29" i="53"/>
  <c r="T29" i="53"/>
  <c r="U29" i="53"/>
  <c r="V29" i="53"/>
  <c r="W29" i="53"/>
  <c r="X29" i="53"/>
  <c r="Y29" i="53"/>
  <c r="AD29" i="53"/>
  <c r="AE29" i="53"/>
  <c r="AF29" i="53"/>
  <c r="AG29" i="53"/>
  <c r="AH29" i="53"/>
  <c r="AI29" i="53"/>
  <c r="C30" i="53"/>
  <c r="D30" i="53"/>
  <c r="F30" i="53"/>
  <c r="G30" i="53"/>
  <c r="H30" i="53"/>
  <c r="I30" i="53"/>
  <c r="J30" i="53"/>
  <c r="K30" i="53"/>
  <c r="M30" i="53"/>
  <c r="N30" i="53"/>
  <c r="P30" i="53"/>
  <c r="Q30" i="53"/>
  <c r="T30" i="53"/>
  <c r="U30" i="53"/>
  <c r="V30" i="53"/>
  <c r="W30" i="53"/>
  <c r="X30" i="53"/>
  <c r="Y30" i="53"/>
  <c r="AD30" i="53"/>
  <c r="AE30" i="53"/>
  <c r="AF30" i="53"/>
  <c r="AG30" i="53"/>
  <c r="AH30" i="53"/>
  <c r="AI30" i="53"/>
  <c r="C31" i="53"/>
  <c r="D31" i="53"/>
  <c r="F31" i="53"/>
  <c r="G31" i="53"/>
  <c r="H31" i="53"/>
  <c r="I31" i="53"/>
  <c r="J31" i="53"/>
  <c r="K31" i="53"/>
  <c r="M31" i="53"/>
  <c r="N31" i="53"/>
  <c r="P31" i="53"/>
  <c r="Q31" i="53"/>
  <c r="T31" i="53"/>
  <c r="U31" i="53"/>
  <c r="V31" i="53"/>
  <c r="W31" i="53"/>
  <c r="X31" i="53"/>
  <c r="Y31" i="53"/>
  <c r="AD31" i="53"/>
  <c r="AE31" i="53"/>
  <c r="AF31" i="53"/>
  <c r="AG31" i="53"/>
  <c r="AH31" i="53"/>
  <c r="AI31" i="53"/>
  <c r="J31" i="39"/>
  <c r="P31" i="39"/>
  <c r="M63" i="59" s="1"/>
  <c r="S31" i="39"/>
  <c r="P63" i="59" s="1"/>
  <c r="AF31" i="39"/>
  <c r="S63" i="59" s="1"/>
  <c r="J32" i="39"/>
  <c r="P32" i="39"/>
  <c r="M64" i="59" s="1"/>
  <c r="S32" i="39"/>
  <c r="P64" i="59" s="1"/>
  <c r="AC22" i="53"/>
  <c r="AF32" i="39"/>
  <c r="S64" i="59" s="1"/>
  <c r="AJ32" i="39"/>
  <c r="AK32" i="39"/>
  <c r="AS22" i="53" s="1"/>
  <c r="J33" i="39"/>
  <c r="P33" i="39"/>
  <c r="M65" i="59" s="1"/>
  <c r="S33" i="39"/>
  <c r="P65" i="59" s="1"/>
  <c r="AC23" i="53"/>
  <c r="AF33" i="39"/>
  <c r="S65" i="59" s="1"/>
  <c r="AJ33" i="39"/>
  <c r="AK33" i="39"/>
  <c r="AS23" i="53" s="1"/>
  <c r="J34" i="39"/>
  <c r="P34" i="39"/>
  <c r="M66" i="59" s="1"/>
  <c r="S34" i="39"/>
  <c r="P66" i="59" s="1"/>
  <c r="AF34" i="39"/>
  <c r="S66" i="59" s="1"/>
  <c r="AJ34" i="39"/>
  <c r="AK34" i="39"/>
  <c r="AS24" i="53" s="1"/>
  <c r="J35" i="39"/>
  <c r="P35" i="39"/>
  <c r="S35" i="39"/>
  <c r="R25" i="53" s="1"/>
  <c r="AK35" i="39"/>
  <c r="AS25" i="53" s="1"/>
  <c r="J36" i="39"/>
  <c r="P36" i="39"/>
  <c r="S36" i="39"/>
  <c r="R26" i="53" s="1"/>
  <c r="AF36" i="39"/>
  <c r="S68" i="59" s="1"/>
  <c r="J37" i="39"/>
  <c r="P37" i="39"/>
  <c r="S37" i="39"/>
  <c r="AF37" i="39"/>
  <c r="S69" i="59" s="1"/>
  <c r="AJ37" i="39"/>
  <c r="AK37" i="39"/>
  <c r="AS27" i="53" s="1"/>
  <c r="J38" i="39"/>
  <c r="P38" i="39"/>
  <c r="M70" i="59" s="1"/>
  <c r="S38" i="39"/>
  <c r="P70" i="59" s="1"/>
  <c r="AF38" i="39"/>
  <c r="S70" i="59" s="1"/>
  <c r="AJ38" i="39"/>
  <c r="AK38" i="39"/>
  <c r="AS28" i="53" s="1"/>
  <c r="J39" i="39"/>
  <c r="P39" i="39"/>
  <c r="S39" i="39"/>
  <c r="AF39" i="39"/>
  <c r="AO29" i="53" s="1"/>
  <c r="AJ39" i="39"/>
  <c r="AK39" i="39"/>
  <c r="AS29" i="53" s="1"/>
  <c r="J40" i="39"/>
  <c r="P40" i="39"/>
  <c r="O30" i="53" s="1"/>
  <c r="S40" i="39"/>
  <c r="P72" i="59" s="1"/>
  <c r="S30" i="53"/>
  <c r="AF40" i="39"/>
  <c r="S72" i="59" s="1"/>
  <c r="AJ40" i="39"/>
  <c r="AK40" i="39"/>
  <c r="AS30" i="53" s="1"/>
  <c r="J41" i="39"/>
  <c r="P41" i="39"/>
  <c r="S41" i="39"/>
  <c r="AF41" i="39"/>
  <c r="S73" i="59" s="1"/>
  <c r="AJ41" i="39"/>
  <c r="M57" i="56" s="1"/>
  <c r="AK41" i="39"/>
  <c r="AS31" i="53" s="1"/>
  <c r="V72" i="59" l="1"/>
  <c r="M56" i="56"/>
  <c r="AR27" i="53"/>
  <c r="M53" i="56"/>
  <c r="V66" i="59"/>
  <c r="M50" i="56"/>
  <c r="V70" i="59"/>
  <c r="M54" i="56"/>
  <c r="AR23" i="53"/>
  <c r="M49" i="56"/>
  <c r="AR29" i="53"/>
  <c r="M55" i="56"/>
  <c r="V64" i="59"/>
  <c r="M48" i="56"/>
  <c r="D52" i="56"/>
  <c r="O29" i="53"/>
  <c r="R29" i="53"/>
  <c r="M72" i="59"/>
  <c r="AD32" i="39"/>
  <c r="Q64" i="59" s="1"/>
  <c r="S22" i="53"/>
  <c r="AO27" i="53"/>
  <c r="S71" i="59"/>
  <c r="AD41" i="39"/>
  <c r="AD39" i="39"/>
  <c r="Q71" i="59" s="1"/>
  <c r="AD35" i="39"/>
  <c r="AO26" i="53"/>
  <c r="AE31" i="39"/>
  <c r="R63" i="59" s="1"/>
  <c r="AD37" i="39"/>
  <c r="Q69" i="59" s="1"/>
  <c r="AD33" i="39"/>
  <c r="Q65" i="59" s="1"/>
  <c r="S27" i="53"/>
  <c r="S25" i="53"/>
  <c r="S23" i="53"/>
  <c r="AD38" i="39"/>
  <c r="Q70" i="59" s="1"/>
  <c r="AE32" i="39"/>
  <c r="R64" i="59" s="1"/>
  <c r="AO23" i="53"/>
  <c r="AO22" i="53"/>
  <c r="AO30" i="53"/>
  <c r="AD40" i="39"/>
  <c r="Q72" i="59" s="1"/>
  <c r="AD34" i="39"/>
  <c r="Q66" i="59" s="1"/>
  <c r="AD31" i="39"/>
  <c r="Q63" i="59" s="1"/>
  <c r="S31" i="53"/>
  <c r="S28" i="53"/>
  <c r="S24" i="53"/>
  <c r="S26" i="53"/>
  <c r="AE33" i="39"/>
  <c r="R65" i="59" s="1"/>
  <c r="AO31" i="53"/>
  <c r="S29" i="53"/>
  <c r="AO28" i="53"/>
  <c r="AO24" i="53"/>
  <c r="L30" i="53"/>
  <c r="AT30" i="53" s="1"/>
  <c r="AR30" i="53"/>
  <c r="R30" i="53"/>
  <c r="AR28" i="53"/>
  <c r="R28" i="53"/>
  <c r="O28" i="53"/>
  <c r="R27" i="53"/>
  <c r="O27" i="53"/>
  <c r="L27" i="53" s="1"/>
  <c r="AT27" i="53" s="1"/>
  <c r="O26" i="53"/>
  <c r="L26" i="53" s="1"/>
  <c r="O24" i="53"/>
  <c r="L24" i="53" s="1"/>
  <c r="AT24" i="53" s="1"/>
  <c r="AR24" i="53"/>
  <c r="R22" i="53"/>
  <c r="O22" i="53"/>
  <c r="O31" i="53"/>
  <c r="L31" i="53" s="1"/>
  <c r="AT31" i="53" s="1"/>
  <c r="V73" i="59"/>
  <c r="J40" i="42"/>
  <c r="I39" i="54"/>
  <c r="I37" i="54"/>
  <c r="J38" i="42"/>
  <c r="I35" i="54"/>
  <c r="J36" i="42"/>
  <c r="V69" i="59"/>
  <c r="I38" i="54"/>
  <c r="J39" i="42"/>
  <c r="I36" i="54"/>
  <c r="J37" i="42"/>
  <c r="J32" i="42"/>
  <c r="I31" i="54"/>
  <c r="V65" i="59"/>
  <c r="I32" i="54"/>
  <c r="J33" i="42"/>
  <c r="V71" i="59"/>
  <c r="J31" i="42"/>
  <c r="I30" i="54"/>
  <c r="AT23" i="53"/>
  <c r="O25" i="53"/>
  <c r="L25" i="53" s="1"/>
  <c r="AT25" i="53" s="1"/>
  <c r="AR31" i="53"/>
  <c r="R31" i="53"/>
  <c r="J44" i="59"/>
  <c r="Z44" i="59" l="1"/>
  <c r="X44" i="59" s="1"/>
  <c r="L29" i="53"/>
  <c r="AT29" i="53" s="1"/>
  <c r="AE35" i="39"/>
  <c r="AC25" i="53"/>
  <c r="AC26" i="53"/>
  <c r="AE34" i="39"/>
  <c r="R66" i="59" s="1"/>
  <c r="AC24" i="53"/>
  <c r="AE39" i="39"/>
  <c r="R71" i="59" s="1"/>
  <c r="AC29" i="53"/>
  <c r="AE41" i="39"/>
  <c r="AC31" i="53"/>
  <c r="AE37" i="39"/>
  <c r="R69" i="59" s="1"/>
  <c r="AC27" i="53"/>
  <c r="AE38" i="39"/>
  <c r="R70" i="59" s="1"/>
  <c r="AC28" i="53"/>
  <c r="AE40" i="39"/>
  <c r="R72" i="59" s="1"/>
  <c r="AC30" i="53"/>
  <c r="L28" i="53"/>
  <c r="AT28" i="53" s="1"/>
  <c r="L22" i="53"/>
  <c r="AT22" i="53" s="1"/>
  <c r="P27" i="65"/>
  <c r="F6" i="22" l="1"/>
  <c r="G2" i="50" s="1"/>
  <c r="H7" i="22"/>
  <c r="F11" i="22"/>
  <c r="C37" i="64" l="1"/>
  <c r="C37" i="58"/>
  <c r="O9" i="63"/>
  <c r="O10" i="63"/>
  <c r="O11" i="63"/>
  <c r="O12" i="63"/>
  <c r="O13" i="63"/>
  <c r="N10" i="63"/>
  <c r="N11" i="63"/>
  <c r="N12" i="63"/>
  <c r="N13" i="63"/>
  <c r="AJ30" i="39" l="1"/>
  <c r="M46" i="56" s="1"/>
  <c r="AJ29" i="39"/>
  <c r="M45" i="56" s="1"/>
  <c r="D5" i="50" l="1"/>
  <c r="D4" i="50"/>
  <c r="D3" i="50"/>
  <c r="B10" i="63" l="1"/>
  <c r="C5" i="50"/>
  <c r="C4" i="50"/>
  <c r="C3" i="50"/>
  <c r="F28" i="42" l="1"/>
  <c r="C26" i="65" l="1"/>
  <c r="K3" i="53"/>
  <c r="M3" i="53"/>
  <c r="N3" i="53"/>
  <c r="P3" i="53"/>
  <c r="Q3" i="53"/>
  <c r="K4" i="53"/>
  <c r="M4" i="53"/>
  <c r="N4" i="53"/>
  <c r="P4" i="53"/>
  <c r="Q4" i="53"/>
  <c r="K5" i="53"/>
  <c r="M5" i="53"/>
  <c r="N5" i="53"/>
  <c r="P5" i="53"/>
  <c r="Q5" i="53"/>
  <c r="K6" i="53"/>
  <c r="M6" i="53"/>
  <c r="N6" i="53"/>
  <c r="P6" i="53"/>
  <c r="Q6" i="53"/>
  <c r="K7" i="53"/>
  <c r="M7" i="53"/>
  <c r="N7" i="53"/>
  <c r="P7" i="53"/>
  <c r="Q7" i="53"/>
  <c r="K8" i="53"/>
  <c r="M8" i="53"/>
  <c r="N8" i="53"/>
  <c r="P8" i="53"/>
  <c r="Q8" i="53"/>
  <c r="K9" i="53"/>
  <c r="M9" i="53"/>
  <c r="N9" i="53"/>
  <c r="P9" i="53"/>
  <c r="Q9" i="53"/>
  <c r="K10" i="53"/>
  <c r="M10" i="53"/>
  <c r="N10" i="53"/>
  <c r="P10" i="53"/>
  <c r="Q10" i="53"/>
  <c r="K11" i="53"/>
  <c r="M11" i="53"/>
  <c r="N11" i="53"/>
  <c r="P11" i="53"/>
  <c r="Q11" i="53"/>
  <c r="K12" i="53"/>
  <c r="M12" i="53"/>
  <c r="N12" i="53"/>
  <c r="P12" i="53"/>
  <c r="Q12" i="53"/>
  <c r="K13" i="53"/>
  <c r="M13" i="53"/>
  <c r="N13" i="53"/>
  <c r="P13" i="53"/>
  <c r="Q13" i="53"/>
  <c r="K14" i="53"/>
  <c r="M14" i="53"/>
  <c r="N14" i="53"/>
  <c r="P14" i="53"/>
  <c r="Q14" i="53"/>
  <c r="K15" i="53"/>
  <c r="M15" i="53"/>
  <c r="N15" i="53"/>
  <c r="P15" i="53"/>
  <c r="Q15" i="53"/>
  <c r="K16" i="53"/>
  <c r="M16" i="53"/>
  <c r="N16" i="53"/>
  <c r="P16" i="53"/>
  <c r="Q16" i="53"/>
  <c r="K17" i="53"/>
  <c r="M17" i="53"/>
  <c r="N17" i="53"/>
  <c r="P17" i="53"/>
  <c r="Q17" i="53"/>
  <c r="K18" i="53"/>
  <c r="M18" i="53"/>
  <c r="N18" i="53"/>
  <c r="P18" i="53"/>
  <c r="Q18" i="53"/>
  <c r="K19" i="53"/>
  <c r="M19" i="53"/>
  <c r="N19" i="53"/>
  <c r="P19" i="53"/>
  <c r="Q19" i="53"/>
  <c r="K20" i="53"/>
  <c r="M20" i="53"/>
  <c r="N20" i="53"/>
  <c r="P20" i="53"/>
  <c r="Q20" i="53"/>
  <c r="K21" i="53"/>
  <c r="M21" i="53"/>
  <c r="N21" i="53"/>
  <c r="O21" i="53"/>
  <c r="P21" i="53"/>
  <c r="Q21" i="53"/>
  <c r="R21" i="53"/>
  <c r="Q2" i="53"/>
  <c r="P2" i="53"/>
  <c r="N2" i="53"/>
  <c r="M2" i="53"/>
  <c r="D2" i="50"/>
  <c r="C2" i="50"/>
  <c r="U2" i="60"/>
  <c r="E77" i="22"/>
  <c r="E78" i="22"/>
  <c r="E79" i="22"/>
  <c r="E80" i="22"/>
  <c r="E81" i="22"/>
  <c r="E82" i="22"/>
  <c r="E83" i="22"/>
  <c r="E84" i="22"/>
  <c r="E76" i="22"/>
  <c r="E46" i="22"/>
  <c r="E47" i="22"/>
  <c r="E48" i="22"/>
  <c r="E49" i="22"/>
  <c r="E50" i="22"/>
  <c r="E51" i="22"/>
  <c r="E52" i="22"/>
  <c r="E53" i="22"/>
  <c r="E54" i="22"/>
  <c r="E45" i="22"/>
  <c r="L21" i="53" l="1"/>
  <c r="K5" i="50"/>
  <c r="C25" i="65" l="1"/>
  <c r="H14" i="22" l="1"/>
  <c r="H13" i="22"/>
  <c r="H12" i="22"/>
  <c r="H11" i="22"/>
  <c r="H9" i="22"/>
  <c r="AU6" i="53" s="1"/>
  <c r="F14" i="22"/>
  <c r="F9" i="22"/>
  <c r="G3" i="50" s="1"/>
  <c r="E2" i="68"/>
  <c r="E3" i="68"/>
  <c r="E4" i="68"/>
  <c r="E5" i="68"/>
  <c r="P6" i="21"/>
  <c r="P5" i="21"/>
  <c r="AE19" i="53"/>
  <c r="AF19" i="53"/>
  <c r="AG19" i="53"/>
  <c r="AE20" i="53"/>
  <c r="AF20" i="53"/>
  <c r="AG20" i="53"/>
  <c r="AE21" i="53"/>
  <c r="AF21" i="53"/>
  <c r="AG21" i="53"/>
  <c r="U19" i="53"/>
  <c r="V19" i="53"/>
  <c r="W19" i="53"/>
  <c r="U20" i="53"/>
  <c r="V20" i="53"/>
  <c r="W20" i="53"/>
  <c r="U21" i="53"/>
  <c r="V21" i="53"/>
  <c r="W21" i="53"/>
  <c r="AK23" i="39" l="1"/>
  <c r="AK29" i="39"/>
  <c r="AK30" i="39"/>
  <c r="AD19" i="53"/>
  <c r="AH19" i="53"/>
  <c r="AI19" i="53"/>
  <c r="AD20" i="53"/>
  <c r="AH20" i="53"/>
  <c r="AI20" i="53"/>
  <c r="AD21" i="53"/>
  <c r="AH21" i="53"/>
  <c r="AI21" i="53"/>
  <c r="T19" i="53"/>
  <c r="X19" i="53"/>
  <c r="Y19" i="53"/>
  <c r="T20" i="53"/>
  <c r="X20" i="53"/>
  <c r="Y20" i="53"/>
  <c r="T21" i="53"/>
  <c r="X21" i="53"/>
  <c r="Y21" i="53"/>
  <c r="L2" i="67"/>
  <c r="M2" i="67"/>
  <c r="O13" i="36" l="1"/>
  <c r="P2" i="52" l="1"/>
  <c r="Q2" i="52"/>
  <c r="S2" i="52"/>
  <c r="T2" i="52"/>
  <c r="R2" i="52"/>
  <c r="O2" i="52"/>
  <c r="C110" i="64" l="1"/>
  <c r="C111" i="64"/>
  <c r="F9" i="42" l="1"/>
  <c r="E9" i="42"/>
  <c r="D12" i="15"/>
  <c r="D11" i="15"/>
  <c r="D10" i="15"/>
  <c r="D9" i="15"/>
  <c r="P32" i="65"/>
  <c r="P33" i="65"/>
  <c r="P31" i="65"/>
  <c r="F35" i="59"/>
  <c r="P26" i="65"/>
  <c r="F12" i="55"/>
  <c r="F78" i="22" s="1"/>
  <c r="P10" i="65"/>
  <c r="F10" i="55" s="1"/>
  <c r="F76" i="22" s="1"/>
  <c r="B11" i="15" l="1"/>
  <c r="B10" i="15"/>
  <c r="J12" i="15"/>
  <c r="J11" i="15"/>
  <c r="J10" i="15"/>
  <c r="J9" i="15"/>
  <c r="H12" i="15"/>
  <c r="G12" i="15"/>
  <c r="H11" i="15"/>
  <c r="G11" i="15"/>
  <c r="H10" i="15"/>
  <c r="G10" i="15"/>
  <c r="H9" i="15"/>
  <c r="G9" i="15"/>
  <c r="F12" i="15"/>
  <c r="E12" i="15"/>
  <c r="F11" i="15"/>
  <c r="E11" i="15"/>
  <c r="F10" i="15"/>
  <c r="E10" i="15"/>
  <c r="F9" i="15"/>
  <c r="E9" i="15"/>
  <c r="AF10" i="39"/>
  <c r="AC10" i="39"/>
  <c r="AB10" i="39"/>
  <c r="AA10" i="39"/>
  <c r="Z10" i="39"/>
  <c r="Y10" i="39"/>
  <c r="X10" i="39"/>
  <c r="V9" i="39"/>
  <c r="V11" i="39" s="1"/>
  <c r="U9" i="39"/>
  <c r="AC21" i="53"/>
  <c r="AO21" i="53"/>
  <c r="S21" i="53"/>
  <c r="J2" i="60"/>
  <c r="D2" i="67"/>
  <c r="C2" i="67"/>
  <c r="B2" i="67"/>
  <c r="C3" i="68"/>
  <c r="D3" i="68"/>
  <c r="C4" i="68"/>
  <c r="D4" i="68"/>
  <c r="C5" i="68"/>
  <c r="D5" i="68"/>
  <c r="C2" i="68"/>
  <c r="D2" i="68"/>
  <c r="B3" i="68"/>
  <c r="B4" i="68"/>
  <c r="B5" i="68"/>
  <c r="B2" i="68"/>
  <c r="T2" i="67"/>
  <c r="S2" i="67"/>
  <c r="R2" i="67"/>
  <c r="O2" i="67"/>
  <c r="Q2" i="67"/>
  <c r="N2" i="67"/>
  <c r="AD5" i="50"/>
  <c r="AC4" i="50"/>
  <c r="AB3" i="50"/>
  <c r="AB4" i="50"/>
  <c r="AB2" i="50"/>
  <c r="AA2" i="50"/>
  <c r="AA3" i="50"/>
  <c r="AA4" i="50"/>
  <c r="AC3" i="50"/>
  <c r="AC2" i="50"/>
  <c r="R3" i="50"/>
  <c r="R4" i="50"/>
  <c r="R5" i="50"/>
  <c r="R2" i="50"/>
  <c r="Q3" i="50"/>
  <c r="Q4" i="50"/>
  <c r="Q5" i="50"/>
  <c r="Q2" i="50"/>
  <c r="P4" i="50"/>
  <c r="P5" i="50"/>
  <c r="P2" i="50"/>
  <c r="O3" i="50"/>
  <c r="O4" i="50"/>
  <c r="O5" i="50"/>
  <c r="O2" i="50"/>
  <c r="Y5" i="50"/>
  <c r="U5" i="50"/>
  <c r="AG3" i="50"/>
  <c r="AG4" i="50"/>
  <c r="AG5" i="50"/>
  <c r="AG2" i="50"/>
  <c r="H5" i="50"/>
  <c r="N5" i="50" s="1"/>
  <c r="M11" i="65"/>
  <c r="J12" i="65"/>
  <c r="M12" i="65" s="1"/>
  <c r="J13" i="65"/>
  <c r="J10" i="65"/>
  <c r="E5" i="50"/>
  <c r="E3" i="50"/>
  <c r="B5" i="50"/>
  <c r="B4" i="50"/>
  <c r="B3" i="50"/>
  <c r="B2" i="50"/>
  <c r="Y13" i="39" l="1"/>
  <c r="U11" i="39"/>
  <c r="L10" i="65"/>
  <c r="M10" i="65"/>
  <c r="M14" i="65" s="1"/>
  <c r="L12" i="65"/>
  <c r="N12" i="65"/>
  <c r="L11" i="65"/>
  <c r="N11" i="65"/>
  <c r="N10" i="65"/>
  <c r="AJ36" i="39"/>
  <c r="N15" i="65"/>
  <c r="E64" i="36" s="1"/>
  <c r="AJ13" i="53"/>
  <c r="AK13" i="53"/>
  <c r="AL13" i="53"/>
  <c r="AL3" i="62"/>
  <c r="AJ3" i="62"/>
  <c r="AK3" i="62"/>
  <c r="AU2" i="53"/>
  <c r="AU13" i="53"/>
  <c r="AU3" i="62"/>
  <c r="Z13" i="53"/>
  <c r="AA13" i="53"/>
  <c r="AB13" i="53"/>
  <c r="Z3" i="62"/>
  <c r="AA3" i="62"/>
  <c r="AB3" i="62"/>
  <c r="AB4" i="53"/>
  <c r="AA5" i="53"/>
  <c r="Z5" i="53"/>
  <c r="AB5" i="53"/>
  <c r="Z4" i="53"/>
  <c r="AA4" i="53"/>
  <c r="AJ5" i="53"/>
  <c r="AL5" i="53"/>
  <c r="AL4" i="53"/>
  <c r="AK4" i="53"/>
  <c r="AK5" i="53"/>
  <c r="AJ4" i="53"/>
  <c r="AU5" i="53"/>
  <c r="AU4" i="53"/>
  <c r="AR26" i="53"/>
  <c r="P43" i="65"/>
  <c r="P42" i="65"/>
  <c r="AB26" i="53"/>
  <c r="AB2" i="53"/>
  <c r="AB3" i="53"/>
  <c r="AB2" i="62"/>
  <c r="AB9" i="62"/>
  <c r="U26" i="53"/>
  <c r="V26" i="53"/>
  <c r="AL3" i="53"/>
  <c r="AL26" i="53"/>
  <c r="AL2" i="53"/>
  <c r="AL9" i="62"/>
  <c r="AL2" i="62"/>
  <c r="AF26" i="53"/>
  <c r="AE26" i="53"/>
  <c r="Z13" i="39"/>
  <c r="W3" i="53" s="1"/>
  <c r="Z12" i="39"/>
  <c r="W2" i="53" s="1"/>
  <c r="Z52" i="39"/>
  <c r="Z36" i="39"/>
  <c r="Y26" i="53" s="1"/>
  <c r="Z59" i="39"/>
  <c r="P41" i="65"/>
  <c r="AU3" i="53"/>
  <c r="AU26" i="53"/>
  <c r="AG55" i="39"/>
  <c r="AG37" i="39"/>
  <c r="AG29" i="39"/>
  <c r="AG21" i="39"/>
  <c r="AI21" i="39" s="1"/>
  <c r="AG13" i="39"/>
  <c r="AI13" i="39" s="1"/>
  <c r="Y52" i="39"/>
  <c r="AG61" i="39"/>
  <c r="AG35" i="39"/>
  <c r="AG27" i="39"/>
  <c r="AG19" i="39"/>
  <c r="AI19" i="39" s="1"/>
  <c r="AG60" i="39"/>
  <c r="AG52" i="39"/>
  <c r="AI52" i="39" s="1"/>
  <c r="AG26" i="39"/>
  <c r="AI26" i="39" s="1"/>
  <c r="AG18" i="39"/>
  <c r="AI18" i="39" s="1"/>
  <c r="AG57" i="39"/>
  <c r="AG23" i="39"/>
  <c r="AI23" i="39" s="1"/>
  <c r="AG54" i="39"/>
  <c r="AG36" i="39"/>
  <c r="AG28" i="39"/>
  <c r="AG20" i="39"/>
  <c r="AI20" i="39" s="1"/>
  <c r="AG53" i="39"/>
  <c r="Y36" i="39"/>
  <c r="X26" i="53" s="1"/>
  <c r="Y12" i="39"/>
  <c r="X2" i="53" s="1"/>
  <c r="AG34" i="39"/>
  <c r="Y59" i="39"/>
  <c r="AG31" i="39"/>
  <c r="AG38" i="39"/>
  <c r="AG14" i="39"/>
  <c r="AI14" i="39" s="1"/>
  <c r="AG59" i="39"/>
  <c r="AG41" i="39"/>
  <c r="AG33" i="39"/>
  <c r="AG25" i="39"/>
  <c r="AI25" i="39" s="1"/>
  <c r="AG17" i="39"/>
  <c r="AI17" i="39" s="1"/>
  <c r="AG58" i="39"/>
  <c r="AG40" i="39"/>
  <c r="AG32" i="39"/>
  <c r="AG24" i="39"/>
  <c r="AI24" i="39" s="1"/>
  <c r="AG16" i="39"/>
  <c r="AI16" i="39" s="1"/>
  <c r="AG12" i="39"/>
  <c r="AG39" i="39"/>
  <c r="AG15" i="39"/>
  <c r="AI15" i="39" s="1"/>
  <c r="AG56" i="39"/>
  <c r="AG30" i="39"/>
  <c r="AG22" i="39"/>
  <c r="AI22" i="39" s="1"/>
  <c r="AU9" i="62"/>
  <c r="AU2" i="62"/>
  <c r="E45" i="65"/>
  <c r="D45" i="65"/>
  <c r="Z2" i="50"/>
  <c r="I45" i="65"/>
  <c r="AF12" i="39"/>
  <c r="AF35" i="39"/>
  <c r="AO25" i="53" s="1"/>
  <c r="AJ52" i="39"/>
  <c r="AJ24" i="39"/>
  <c r="AJ23" i="39"/>
  <c r="M39" i="56" s="1"/>
  <c r="AJ27" i="39"/>
  <c r="M43" i="56" s="1"/>
  <c r="AJ26" i="39"/>
  <c r="AJ25" i="39"/>
  <c r="V18" i="53"/>
  <c r="W18" i="53"/>
  <c r="U18" i="53"/>
  <c r="Y18" i="53"/>
  <c r="T18" i="53"/>
  <c r="AE18" i="53"/>
  <c r="AF18" i="53"/>
  <c r="AG18" i="53"/>
  <c r="AD18" i="53"/>
  <c r="AI18" i="53"/>
  <c r="W12" i="53"/>
  <c r="V15" i="53"/>
  <c r="U13" i="53"/>
  <c r="V12" i="53"/>
  <c r="W15" i="53"/>
  <c r="W14" i="53"/>
  <c r="V13" i="53"/>
  <c r="U16" i="53"/>
  <c r="V11" i="53"/>
  <c r="U11" i="53"/>
  <c r="W13" i="53"/>
  <c r="V16" i="53"/>
  <c r="W16" i="53"/>
  <c r="W17" i="53"/>
  <c r="U14" i="53"/>
  <c r="U12" i="53"/>
  <c r="W11" i="53"/>
  <c r="V14" i="53"/>
  <c r="U17" i="53"/>
  <c r="V17" i="53"/>
  <c r="U15" i="53"/>
  <c r="T11" i="53"/>
  <c r="Y13" i="53"/>
  <c r="T14" i="53"/>
  <c r="Y16" i="53"/>
  <c r="Y11" i="53"/>
  <c r="T17" i="53"/>
  <c r="Y15" i="53"/>
  <c r="Y14" i="53"/>
  <c r="Y12" i="53"/>
  <c r="T15" i="53"/>
  <c r="Y17" i="53"/>
  <c r="T13" i="53"/>
  <c r="T16" i="53"/>
  <c r="AE13" i="53"/>
  <c r="AG15" i="53"/>
  <c r="AF12" i="53"/>
  <c r="AF13" i="53"/>
  <c r="AE16" i="53"/>
  <c r="AE11" i="53"/>
  <c r="AG13" i="53"/>
  <c r="AF16" i="53"/>
  <c r="AG17" i="53"/>
  <c r="AF11" i="53"/>
  <c r="AE14" i="53"/>
  <c r="AG16" i="53"/>
  <c r="AG12" i="53"/>
  <c r="AG11" i="53"/>
  <c r="AF14" i="53"/>
  <c r="AE17" i="53"/>
  <c r="AF15" i="53"/>
  <c r="AE12" i="53"/>
  <c r="AG14" i="53"/>
  <c r="AF17" i="53"/>
  <c r="AE15" i="53"/>
  <c r="AD14" i="53"/>
  <c r="AI16" i="53"/>
  <c r="AI14" i="53"/>
  <c r="AI11" i="53"/>
  <c r="AD17" i="53"/>
  <c r="AD11" i="53"/>
  <c r="AD15" i="53"/>
  <c r="AI17" i="53"/>
  <c r="AD13" i="53"/>
  <c r="AI15" i="53"/>
  <c r="AD16" i="53"/>
  <c r="AI12" i="53"/>
  <c r="AI13" i="53"/>
  <c r="AJ17" i="39"/>
  <c r="M33" i="56" s="1"/>
  <c r="AJ18" i="39"/>
  <c r="M34" i="56" s="1"/>
  <c r="AJ31" i="39"/>
  <c r="M47" i="56" s="1"/>
  <c r="AJ35" i="39"/>
  <c r="M51" i="56" s="1"/>
  <c r="AJ19" i="39"/>
  <c r="M35" i="56" s="1"/>
  <c r="AJ16" i="39"/>
  <c r="M32" i="56" s="1"/>
  <c r="AJ22" i="39"/>
  <c r="M38" i="56" s="1"/>
  <c r="AJ21" i="39"/>
  <c r="AJ20" i="39"/>
  <c r="AJ15" i="39"/>
  <c r="M31" i="56" s="1"/>
  <c r="AJ28" i="39"/>
  <c r="M44" i="56" s="1"/>
  <c r="AJ14" i="39"/>
  <c r="M30" i="56" s="1"/>
  <c r="AJ13" i="39"/>
  <c r="AJ12" i="39"/>
  <c r="L3" i="50"/>
  <c r="D98" i="22" s="1"/>
  <c r="L4" i="50"/>
  <c r="D97" i="22" s="1"/>
  <c r="M3" i="50"/>
  <c r="L2" i="50"/>
  <c r="E2" i="50"/>
  <c r="AG4" i="53"/>
  <c r="AG8" i="53"/>
  <c r="AG7" i="53"/>
  <c r="AG6" i="53"/>
  <c r="AG10" i="53"/>
  <c r="AG5" i="53"/>
  <c r="AG9" i="53"/>
  <c r="W5" i="53"/>
  <c r="W7" i="53"/>
  <c r="W9" i="53"/>
  <c r="W4" i="53"/>
  <c r="W6" i="53"/>
  <c r="W8" i="53"/>
  <c r="W10" i="53"/>
  <c r="T10" i="53"/>
  <c r="AD10" i="53"/>
  <c r="H45" i="65"/>
  <c r="G45" i="65"/>
  <c r="T9" i="53"/>
  <c r="T6" i="53"/>
  <c r="T8" i="53"/>
  <c r="T5" i="53"/>
  <c r="T7" i="53"/>
  <c r="AD5" i="53"/>
  <c r="AD6" i="53"/>
  <c r="AD7" i="53"/>
  <c r="AD8" i="53"/>
  <c r="AD9" i="53"/>
  <c r="E4" i="50"/>
  <c r="C11" i="15"/>
  <c r="C10" i="15"/>
  <c r="C9" i="15"/>
  <c r="Z3" i="50"/>
  <c r="Z4" i="50"/>
  <c r="J39" i="58"/>
  <c r="X2" i="62" l="1"/>
  <c r="AH52" i="39"/>
  <c r="AP2" i="62" s="1"/>
  <c r="I14" i="42"/>
  <c r="U47" i="59"/>
  <c r="H13" i="54"/>
  <c r="I12" i="42"/>
  <c r="H11" i="54"/>
  <c r="U45" i="59"/>
  <c r="U55" i="59"/>
  <c r="I22" i="42"/>
  <c r="H21" i="54"/>
  <c r="U53" i="59"/>
  <c r="I20" i="42"/>
  <c r="H19" i="54"/>
  <c r="I15" i="42"/>
  <c r="H14" i="54"/>
  <c r="U48" i="59"/>
  <c r="I17" i="42"/>
  <c r="H16" i="54"/>
  <c r="U50" i="59"/>
  <c r="U56" i="59"/>
  <c r="H22" i="54"/>
  <c r="I23" i="42"/>
  <c r="I25" i="42"/>
  <c r="U58" i="59"/>
  <c r="H24" i="54"/>
  <c r="I13" i="42"/>
  <c r="U46" i="59"/>
  <c r="H12" i="54"/>
  <c r="U51" i="59"/>
  <c r="H17" i="54"/>
  <c r="I18" i="42"/>
  <c r="I16" i="42"/>
  <c r="U49" i="59"/>
  <c r="H15" i="54"/>
  <c r="U54" i="59"/>
  <c r="I21" i="42"/>
  <c r="H20" i="54"/>
  <c r="I24" i="42"/>
  <c r="U57" i="59"/>
  <c r="H23" i="54"/>
  <c r="U52" i="59"/>
  <c r="H18" i="54"/>
  <c r="I19" i="42"/>
  <c r="AB13" i="39"/>
  <c r="AH13" i="39"/>
  <c r="AP3" i="53" s="1"/>
  <c r="M36" i="56"/>
  <c r="E36" i="56"/>
  <c r="M37" i="56"/>
  <c r="E37" i="56"/>
  <c r="M40" i="56"/>
  <c r="E40" i="56"/>
  <c r="M41" i="56"/>
  <c r="E41" i="56"/>
  <c r="M42" i="56"/>
  <c r="E42" i="56"/>
  <c r="P51" i="65"/>
  <c r="C89" i="22"/>
  <c r="F90" i="22"/>
  <c r="C90" i="22"/>
  <c r="L16" i="65"/>
  <c r="V68" i="59"/>
  <c r="M52" i="56"/>
  <c r="J35" i="42"/>
  <c r="I34" i="54"/>
  <c r="AI12" i="39"/>
  <c r="D96" i="22"/>
  <c r="Z3" i="53"/>
  <c r="C91" i="22"/>
  <c r="W26" i="53"/>
  <c r="T26" i="53"/>
  <c r="AC59" i="39"/>
  <c r="AK9" i="62" s="1"/>
  <c r="AA9" i="62"/>
  <c r="AA26" i="53"/>
  <c r="AC36" i="39"/>
  <c r="AD26" i="53" s="1"/>
  <c r="AC52" i="39"/>
  <c r="AK2" i="62" s="1"/>
  <c r="AA2" i="62"/>
  <c r="AC12" i="39"/>
  <c r="AA2" i="53"/>
  <c r="AA3" i="53"/>
  <c r="AC13" i="39"/>
  <c r="AJ3" i="53" s="1"/>
  <c r="AB59" i="39"/>
  <c r="AJ9" i="62" s="1"/>
  <c r="Z9" i="62"/>
  <c r="AB12" i="39"/>
  <c r="Z2" i="53"/>
  <c r="AD12" i="39"/>
  <c r="Z26" i="53"/>
  <c r="AB36" i="39"/>
  <c r="AD36" i="39"/>
  <c r="Q68" i="59" s="1"/>
  <c r="AB52" i="39"/>
  <c r="Z2" i="62"/>
  <c r="D46" i="65"/>
  <c r="H46" i="65"/>
  <c r="I46" i="65"/>
  <c r="N45" i="65"/>
  <c r="E46" i="65"/>
  <c r="G46" i="65"/>
  <c r="AJ42" i="39"/>
  <c r="AR25" i="53"/>
  <c r="J34" i="42"/>
  <c r="I33" i="54"/>
  <c r="V63" i="59"/>
  <c r="I29" i="54"/>
  <c r="J30" i="42"/>
  <c r="F15" i="55"/>
  <c r="F81" i="22" s="1"/>
  <c r="I14" i="15"/>
  <c r="J38" i="58"/>
  <c r="J40" i="58"/>
  <c r="J41" i="58"/>
  <c r="J42" i="58"/>
  <c r="C43" i="65"/>
  <c r="C42" i="65"/>
  <c r="J44" i="65"/>
  <c r="E58" i="36" s="1"/>
  <c r="N9" i="63" s="1"/>
  <c r="J43" i="65"/>
  <c r="J42" i="65"/>
  <c r="G14" i="65"/>
  <c r="D14" i="65"/>
  <c r="K13" i="65"/>
  <c r="I13" i="65"/>
  <c r="K12" i="65"/>
  <c r="I12" i="65"/>
  <c r="K11" i="65"/>
  <c r="I11" i="65"/>
  <c r="M29" i="56" l="1"/>
  <c r="F89" i="22"/>
  <c r="H10" i="54"/>
  <c r="H40" i="54" s="1"/>
  <c r="AI42" i="39"/>
  <c r="U44" i="59"/>
  <c r="U75" i="59" s="1"/>
  <c r="I11" i="42"/>
  <c r="I41" i="42" s="1"/>
  <c r="D99" i="22"/>
  <c r="AG2" i="53"/>
  <c r="AK3" i="53"/>
  <c r="AG3" i="53"/>
  <c r="AH26" i="53"/>
  <c r="AG26" i="53"/>
  <c r="AM26" i="53"/>
  <c r="AK2" i="53"/>
  <c r="AI2" i="53"/>
  <c r="AK26" i="53"/>
  <c r="AI26" i="53"/>
  <c r="AJ2" i="53"/>
  <c r="AH2" i="53"/>
  <c r="AJ2" i="62"/>
  <c r="AH2" i="62"/>
  <c r="AJ26" i="53"/>
  <c r="AE36" i="39"/>
  <c r="R68" i="59" s="1"/>
  <c r="F32" i="59"/>
  <c r="P3" i="50"/>
  <c r="AN26" i="53" l="1"/>
  <c r="C46" i="22"/>
  <c r="C47" i="22"/>
  <c r="C48" i="22"/>
  <c r="C49" i="22"/>
  <c r="C50" i="22"/>
  <c r="C51" i="22"/>
  <c r="C52" i="22"/>
  <c r="C53" i="22"/>
  <c r="C54" i="22"/>
  <c r="C45" i="22"/>
  <c r="B46" i="22"/>
  <c r="B47" i="22"/>
  <c r="B48" i="22"/>
  <c r="B49" i="22"/>
  <c r="B50" i="22"/>
  <c r="B51" i="22"/>
  <c r="B52" i="22"/>
  <c r="B53" i="22"/>
  <c r="B54" i="22"/>
  <c r="B45" i="22"/>
  <c r="D43" i="57"/>
  <c r="U2" i="52" l="1"/>
  <c r="L2" i="52"/>
  <c r="O2" i="60"/>
  <c r="S2" i="53" l="1"/>
  <c r="AF53" i="39"/>
  <c r="AF54" i="39"/>
  <c r="AF55" i="39"/>
  <c r="AF56" i="39"/>
  <c r="AF57" i="39"/>
  <c r="AF58" i="39"/>
  <c r="AF59" i="39"/>
  <c r="AF60" i="39"/>
  <c r="AF61" i="39"/>
  <c r="S67" i="59" s="1"/>
  <c r="AF30" i="39"/>
  <c r="S20" i="53"/>
  <c r="AF29" i="39"/>
  <c r="S19" i="53"/>
  <c r="AF28" i="39"/>
  <c r="S18" i="53"/>
  <c r="AF27" i="39"/>
  <c r="S17" i="53"/>
  <c r="AF26" i="39"/>
  <c r="S16" i="53"/>
  <c r="AF25" i="39"/>
  <c r="S15" i="53"/>
  <c r="AF24" i="39"/>
  <c r="S14" i="53"/>
  <c r="AF23" i="39"/>
  <c r="S13" i="53"/>
  <c r="AF22" i="39"/>
  <c r="T12" i="53"/>
  <c r="S12" i="53"/>
  <c r="AF21" i="39"/>
  <c r="S11" i="53"/>
  <c r="AF20" i="39"/>
  <c r="Y10" i="53"/>
  <c r="AF19" i="39"/>
  <c r="AF18" i="39"/>
  <c r="AF17" i="39"/>
  <c r="AF16" i="39"/>
  <c r="AF15" i="39"/>
  <c r="AF14" i="39"/>
  <c r="Y4" i="53"/>
  <c r="T4" i="53"/>
  <c r="AH18" i="53" l="1"/>
  <c r="X18" i="53"/>
  <c r="AH11" i="53"/>
  <c r="X11" i="53"/>
  <c r="AM11" i="53" s="1"/>
  <c r="AH13" i="53"/>
  <c r="X13" i="53"/>
  <c r="AM13" i="53" s="1"/>
  <c r="AH15" i="53"/>
  <c r="X15" i="53"/>
  <c r="AM15" i="53" s="1"/>
  <c r="AH17" i="53"/>
  <c r="X17" i="53"/>
  <c r="AM17" i="53" s="1"/>
  <c r="X12" i="53"/>
  <c r="AM12" i="53" s="1"/>
  <c r="AH14" i="53"/>
  <c r="X14" i="53"/>
  <c r="AM14" i="53" s="1"/>
  <c r="AH16" i="53"/>
  <c r="X16" i="53"/>
  <c r="AM16" i="53" s="1"/>
  <c r="S56" i="59"/>
  <c r="AO14" i="53"/>
  <c r="S55" i="59"/>
  <c r="AO13" i="53"/>
  <c r="S57" i="59"/>
  <c r="AO15" i="53"/>
  <c r="S59" i="59"/>
  <c r="AO17" i="53"/>
  <c r="S61" i="59"/>
  <c r="AO19" i="53"/>
  <c r="S58" i="59"/>
  <c r="AO16" i="53"/>
  <c r="S62" i="59"/>
  <c r="AO20" i="53"/>
  <c r="S60" i="59"/>
  <c r="AO18" i="53"/>
  <c r="S54" i="59"/>
  <c r="AO12" i="53"/>
  <c r="S53" i="59"/>
  <c r="AO11" i="53"/>
  <c r="AO4" i="53"/>
  <c r="S46" i="59"/>
  <c r="AO5" i="53"/>
  <c r="S47" i="59"/>
  <c r="AO6" i="53"/>
  <c r="S48" i="59"/>
  <c r="AO7" i="53"/>
  <c r="S49" i="59"/>
  <c r="AO8" i="53"/>
  <c r="S50" i="59"/>
  <c r="AO9" i="53"/>
  <c r="S51" i="59"/>
  <c r="AO10" i="53"/>
  <c r="S52" i="59"/>
  <c r="U4" i="53"/>
  <c r="V4" i="53"/>
  <c r="U5" i="53"/>
  <c r="V5" i="53"/>
  <c r="U6" i="53"/>
  <c r="V6" i="53"/>
  <c r="U7" i="53"/>
  <c r="V7" i="53"/>
  <c r="U8" i="53"/>
  <c r="V8" i="53"/>
  <c r="U9" i="53"/>
  <c r="V9" i="53"/>
  <c r="U10" i="53"/>
  <c r="V10" i="53"/>
  <c r="AD14" i="39"/>
  <c r="AD15" i="39"/>
  <c r="Q47" i="59" s="1"/>
  <c r="AD16" i="39"/>
  <c r="AD17" i="39"/>
  <c r="AD18" i="39"/>
  <c r="AD19" i="39"/>
  <c r="S3" i="53"/>
  <c r="AE59" i="39"/>
  <c r="AD59" i="39"/>
  <c r="AE55" i="39"/>
  <c r="AD55" i="39"/>
  <c r="AD21" i="39"/>
  <c r="Q53" i="59" s="1"/>
  <c r="AD22" i="39"/>
  <c r="AD23" i="39"/>
  <c r="Q55" i="59" s="1"/>
  <c r="AD24" i="39"/>
  <c r="AD25" i="39"/>
  <c r="Q57" i="59" s="1"/>
  <c r="AD26" i="39"/>
  <c r="Q58" i="59" s="1"/>
  <c r="AD27" i="39"/>
  <c r="Q59" i="59" s="1"/>
  <c r="AD28" i="39"/>
  <c r="Q60" i="59" s="1"/>
  <c r="AD29" i="39"/>
  <c r="Q61" i="59" s="1"/>
  <c r="AD30" i="39"/>
  <c r="Q62" i="59" s="1"/>
  <c r="AE58" i="39"/>
  <c r="AD58" i="39"/>
  <c r="AE54" i="39"/>
  <c r="AD54" i="39"/>
  <c r="AE61" i="39"/>
  <c r="R67" i="59" s="1"/>
  <c r="AD61" i="39"/>
  <c r="Q67" i="59" s="1"/>
  <c r="AE60" i="39"/>
  <c r="AD60" i="39"/>
  <c r="AE57" i="39"/>
  <c r="AD57" i="39"/>
  <c r="AE53" i="39"/>
  <c r="AD53" i="39"/>
  <c r="AE56" i="39"/>
  <c r="AD56" i="39"/>
  <c r="AD20" i="39"/>
  <c r="X10" i="53"/>
  <c r="X4" i="53"/>
  <c r="AF5" i="53"/>
  <c r="X5" i="53"/>
  <c r="AF6" i="53"/>
  <c r="X6" i="53"/>
  <c r="AF7" i="53"/>
  <c r="X7" i="53"/>
  <c r="AI5" i="53"/>
  <c r="Y5" i="53"/>
  <c r="AI6" i="53"/>
  <c r="Y6" i="53"/>
  <c r="AI7" i="53"/>
  <c r="Y7" i="53"/>
  <c r="AI8" i="53"/>
  <c r="Y8" i="53"/>
  <c r="AI9" i="53"/>
  <c r="Y9" i="53"/>
  <c r="S7" i="53"/>
  <c r="AF9" i="53"/>
  <c r="X9" i="53"/>
  <c r="X8" i="53"/>
  <c r="S8" i="53"/>
  <c r="S9" i="53"/>
  <c r="S6" i="53"/>
  <c r="S5" i="53"/>
  <c r="AI4" i="53"/>
  <c r="S4" i="53"/>
  <c r="AC10" i="53"/>
  <c r="S10" i="53"/>
  <c r="AI10" i="53"/>
  <c r="AF50" i="39"/>
  <c r="AC50" i="39"/>
  <c r="AB50" i="39"/>
  <c r="Z50" i="39"/>
  <c r="Y50" i="39"/>
  <c r="X50" i="39"/>
  <c r="AM10" i="53" l="1"/>
  <c r="E96" i="22"/>
  <c r="Q51" i="59"/>
  <c r="AM9" i="53"/>
  <c r="AM8" i="53"/>
  <c r="AM7" i="53"/>
  <c r="AM6" i="53"/>
  <c r="AM4" i="53"/>
  <c r="AM5" i="53"/>
  <c r="AF4" i="53"/>
  <c r="AD4" i="53"/>
  <c r="AH12" i="53"/>
  <c r="AD12" i="53"/>
  <c r="Q56" i="59"/>
  <c r="D19" i="56"/>
  <c r="D18" i="56"/>
  <c r="Q49" i="59"/>
  <c r="AE29" i="39"/>
  <c r="R61" i="59" s="1"/>
  <c r="AC19" i="53"/>
  <c r="AE25" i="39"/>
  <c r="R57" i="59" s="1"/>
  <c r="AC15" i="53"/>
  <c r="AN15" i="53" s="1"/>
  <c r="AQ15" i="53" s="1"/>
  <c r="AE21" i="39"/>
  <c r="R53" i="59" s="1"/>
  <c r="AC11" i="53"/>
  <c r="AN11" i="53" s="1"/>
  <c r="AQ11" i="53" s="1"/>
  <c r="AE28" i="39"/>
  <c r="R60" i="59" s="1"/>
  <c r="AC18" i="53"/>
  <c r="AE24" i="39"/>
  <c r="R56" i="59" s="1"/>
  <c r="AC14" i="53"/>
  <c r="AN14" i="53" s="1"/>
  <c r="AQ14" i="53" s="1"/>
  <c r="AE27" i="39"/>
  <c r="R59" i="59" s="1"/>
  <c r="AC17" i="53"/>
  <c r="AN17" i="53" s="1"/>
  <c r="AE23" i="39"/>
  <c r="R55" i="59" s="1"/>
  <c r="AC13" i="53"/>
  <c r="AN13" i="53" s="1"/>
  <c r="AQ13" i="53" s="1"/>
  <c r="AE30" i="39"/>
  <c r="R62" i="59" s="1"/>
  <c r="AC20" i="53"/>
  <c r="AE26" i="39"/>
  <c r="R58" i="59" s="1"/>
  <c r="AC16" i="53"/>
  <c r="AN16" i="53" s="1"/>
  <c r="AQ16" i="53" s="1"/>
  <c r="AE22" i="39"/>
  <c r="AC12" i="53"/>
  <c r="Q46" i="59"/>
  <c r="M2" i="50"/>
  <c r="AE10" i="53"/>
  <c r="AF10" i="53"/>
  <c r="AE8" i="53"/>
  <c r="AF8" i="53"/>
  <c r="Q50" i="59"/>
  <c r="AH9" i="53"/>
  <c r="AE9" i="53"/>
  <c r="AH6" i="53"/>
  <c r="AE6" i="53"/>
  <c r="AH7" i="53"/>
  <c r="AE7" i="53"/>
  <c r="AH5" i="53"/>
  <c r="AE5" i="53"/>
  <c r="AH4" i="53"/>
  <c r="AE4" i="53"/>
  <c r="AE18" i="39"/>
  <c r="R50" i="59" s="1"/>
  <c r="AE16" i="39"/>
  <c r="AE15" i="39"/>
  <c r="R47" i="59" s="1"/>
  <c r="AC4" i="53"/>
  <c r="AE14" i="39"/>
  <c r="R46" i="59" s="1"/>
  <c r="AE19" i="39"/>
  <c r="R51" i="59" s="1"/>
  <c r="AE17" i="39"/>
  <c r="R49" i="59" s="1"/>
  <c r="Q52" i="59"/>
  <c r="AE20" i="39"/>
  <c r="AH10" i="53"/>
  <c r="AC7" i="53"/>
  <c r="AH8" i="53"/>
  <c r="AC8" i="53"/>
  <c r="AC9" i="53"/>
  <c r="AC6" i="53"/>
  <c r="AC5" i="53"/>
  <c r="AA50" i="39"/>
  <c r="AS13" i="53"/>
  <c r="AS19" i="53"/>
  <c r="AS20" i="53"/>
  <c r="AN10" i="53" l="1"/>
  <c r="AQ10" i="53" s="1"/>
  <c r="AN12" i="53"/>
  <c r="AQ12" i="53" s="1"/>
  <c r="F96" i="22"/>
  <c r="AN8" i="53"/>
  <c r="AQ8" i="53" s="1"/>
  <c r="AN9" i="53"/>
  <c r="AQ9" i="53" s="1"/>
  <c r="AN7" i="53"/>
  <c r="AQ7" i="53" s="1"/>
  <c r="AN6" i="53"/>
  <c r="AQ6" i="53" s="1"/>
  <c r="AN5" i="53"/>
  <c r="AQ5" i="53" s="1"/>
  <c r="AN4" i="53"/>
  <c r="AQ4" i="53" s="1"/>
  <c r="AA42" i="39"/>
  <c r="AC3" i="53"/>
  <c r="AC2" i="53"/>
  <c r="R52" i="59"/>
  <c r="C76" i="64"/>
  <c r="C75" i="64"/>
  <c r="C74" i="64"/>
  <c r="C73" i="64"/>
  <c r="C72" i="64"/>
  <c r="B71" i="64"/>
  <c r="C143" i="64"/>
  <c r="C69" i="64"/>
  <c r="B142" i="64"/>
  <c r="C68" i="64"/>
  <c r="C67" i="64"/>
  <c r="C140" i="64"/>
  <c r="C66" i="64"/>
  <c r="C139" i="64"/>
  <c r="C65" i="64"/>
  <c r="C138" i="64"/>
  <c r="C64" i="64"/>
  <c r="C137" i="64"/>
  <c r="B63" i="64"/>
  <c r="C136" i="64"/>
  <c r="C135" i="64"/>
  <c r="C61" i="64"/>
  <c r="C134" i="64"/>
  <c r="C60" i="64"/>
  <c r="C133" i="64"/>
  <c r="C132" i="64"/>
  <c r="C59" i="64"/>
  <c r="C131" i="64"/>
  <c r="C58" i="64"/>
  <c r="C129" i="64"/>
  <c r="C57" i="64"/>
  <c r="B128" i="64"/>
  <c r="B56" i="64"/>
  <c r="C126" i="64"/>
  <c r="C54" i="64"/>
  <c r="C125" i="64"/>
  <c r="C53" i="64"/>
  <c r="C123" i="64"/>
  <c r="C52" i="64"/>
  <c r="C122" i="64"/>
  <c r="C51" i="64"/>
  <c r="C121" i="64"/>
  <c r="C50" i="64"/>
  <c r="C120" i="64"/>
  <c r="C49" i="64"/>
  <c r="C119" i="64"/>
  <c r="C48" i="64"/>
  <c r="C118" i="64"/>
  <c r="B47" i="64"/>
  <c r="C117" i="64"/>
  <c r="B116" i="64"/>
  <c r="C45" i="64"/>
  <c r="C44" i="64"/>
  <c r="C114" i="64"/>
  <c r="C43" i="64"/>
  <c r="C113" i="64"/>
  <c r="C42" i="64"/>
  <c r="C112" i="64"/>
  <c r="C41" i="64"/>
  <c r="C109" i="64"/>
  <c r="C40" i="64"/>
  <c r="B108" i="64"/>
  <c r="C39" i="64"/>
  <c r="C36" i="64"/>
  <c r="C106" i="64"/>
  <c r="C35" i="64"/>
  <c r="C105" i="64"/>
  <c r="C34" i="64"/>
  <c r="C104" i="64"/>
  <c r="C33" i="64"/>
  <c r="C103" i="64"/>
  <c r="C32" i="64"/>
  <c r="C102" i="64"/>
  <c r="B31" i="64"/>
  <c r="C101" i="64"/>
  <c r="B100" i="64"/>
  <c r="C29" i="64"/>
  <c r="C28" i="64"/>
  <c r="C98" i="64"/>
  <c r="C27" i="64"/>
  <c r="C97" i="64"/>
  <c r="C26" i="64"/>
  <c r="C96" i="64"/>
  <c r="C25" i="64"/>
  <c r="C95" i="64"/>
  <c r="C24" i="64"/>
  <c r="C94" i="64"/>
  <c r="C93" i="64"/>
  <c r="C23" i="64"/>
  <c r="C92" i="64"/>
  <c r="C22" i="64"/>
  <c r="C91" i="64"/>
  <c r="B21" i="64"/>
  <c r="C90" i="64"/>
  <c r="C89" i="64"/>
  <c r="C19" i="64"/>
  <c r="C88" i="64"/>
  <c r="C18" i="64"/>
  <c r="C87" i="64"/>
  <c r="C17" i="64"/>
  <c r="C86" i="64"/>
  <c r="C16" i="64"/>
  <c r="C85" i="64"/>
  <c r="C15" i="64"/>
  <c r="C84" i="64"/>
  <c r="C14" i="64"/>
  <c r="C83" i="64"/>
  <c r="B13" i="64"/>
  <c r="C82" i="64"/>
  <c r="C11" i="64"/>
  <c r="C10" i="64"/>
  <c r="C81" i="64"/>
  <c r="C9" i="64"/>
  <c r="C80" i="64"/>
  <c r="C8" i="64"/>
  <c r="C79" i="64"/>
  <c r="C7" i="64"/>
  <c r="B78" i="64"/>
  <c r="B6" i="64"/>
  <c r="J14" i="39"/>
  <c r="AK14" i="39" l="1"/>
  <c r="AS4" i="53" s="1"/>
  <c r="AK36" i="39"/>
  <c r="AS26" i="53" s="1"/>
  <c r="AT26" i="53" s="1"/>
  <c r="AK13" i="39"/>
  <c r="AS3" i="53" s="1"/>
  <c r="AK17" i="39"/>
  <c r="AS7" i="53" s="1"/>
  <c r="AK25" i="39"/>
  <c r="AS15" i="53" s="1"/>
  <c r="AK28" i="39"/>
  <c r="AS18" i="53" s="1"/>
  <c r="AK18" i="39"/>
  <c r="AS8" i="53" s="1"/>
  <c r="AK26" i="39"/>
  <c r="AS16" i="53" s="1"/>
  <c r="AK19" i="39"/>
  <c r="AS9" i="53" s="1"/>
  <c r="AK27" i="39"/>
  <c r="AS17" i="53" s="1"/>
  <c r="AK20" i="39"/>
  <c r="AS10" i="53" s="1"/>
  <c r="AK21" i="39"/>
  <c r="AS11" i="53" s="1"/>
  <c r="AK22" i="39"/>
  <c r="AS12" i="53" s="1"/>
  <c r="AK24" i="39"/>
  <c r="AS14" i="53" s="1"/>
  <c r="AK16" i="39"/>
  <c r="AS6" i="53" s="1"/>
  <c r="AS2" i="53"/>
  <c r="AK31" i="39"/>
  <c r="AS21" i="53" s="1"/>
  <c r="AT21" i="53" s="1"/>
  <c r="AK15" i="39"/>
  <c r="AS5" i="53" s="1"/>
  <c r="E44" i="59" l="1"/>
  <c r="K3" i="63" l="1"/>
  <c r="K4" i="63"/>
  <c r="K5" i="63"/>
  <c r="K6" i="63"/>
  <c r="K7" i="63"/>
  <c r="K8" i="63"/>
  <c r="K2" i="63"/>
  <c r="B12" i="63"/>
  <c r="B13" i="63"/>
  <c r="B11" i="63"/>
  <c r="I7" i="63"/>
  <c r="I8" i="63"/>
  <c r="I3" i="63"/>
  <c r="I4" i="63"/>
  <c r="I5" i="63"/>
  <c r="I6" i="63"/>
  <c r="I2" i="63"/>
  <c r="H7" i="63"/>
  <c r="G8" i="63"/>
  <c r="H8" i="63"/>
  <c r="G3" i="63"/>
  <c r="H3" i="63"/>
  <c r="G4" i="63"/>
  <c r="H4" i="63"/>
  <c r="G5" i="63"/>
  <c r="H5" i="63"/>
  <c r="G6" i="63"/>
  <c r="H6" i="63"/>
  <c r="G7" i="63"/>
  <c r="G2" i="63"/>
  <c r="H2" i="63"/>
  <c r="E6" i="63"/>
  <c r="F6" i="63"/>
  <c r="E7" i="63"/>
  <c r="F7" i="63"/>
  <c r="E8" i="63"/>
  <c r="E3" i="63"/>
  <c r="E4" i="63"/>
  <c r="E5" i="63"/>
  <c r="E2" i="63"/>
  <c r="D6" i="63"/>
  <c r="C7" i="63"/>
  <c r="D7" i="63"/>
  <c r="C8" i="63"/>
  <c r="D8" i="63"/>
  <c r="C12" i="63"/>
  <c r="C3" i="63"/>
  <c r="D3" i="63"/>
  <c r="C4" i="63"/>
  <c r="D4" i="63"/>
  <c r="C5" i="63"/>
  <c r="D5" i="63"/>
  <c r="C6" i="63"/>
  <c r="D2" i="63"/>
  <c r="C2" i="63"/>
  <c r="D62" i="59" l="1"/>
  <c r="D61" i="59"/>
  <c r="D60" i="59"/>
  <c r="D59" i="59"/>
  <c r="D58" i="59"/>
  <c r="D57" i="59"/>
  <c r="D56" i="59"/>
  <c r="D55" i="59"/>
  <c r="D54" i="59"/>
  <c r="D53" i="59"/>
  <c r="D52" i="59"/>
  <c r="D51" i="59"/>
  <c r="D50" i="59"/>
  <c r="D49" i="59"/>
  <c r="D48" i="59"/>
  <c r="D47" i="59"/>
  <c r="D46" i="59"/>
  <c r="D45" i="59"/>
  <c r="D44" i="59"/>
  <c r="E46" i="59"/>
  <c r="F5" i="63" l="1"/>
  <c r="F8" i="63"/>
  <c r="I59" i="36"/>
  <c r="P10" i="63" s="1"/>
  <c r="I60" i="36"/>
  <c r="P11" i="63" s="1"/>
  <c r="I61" i="36"/>
  <c r="P12" i="63" s="1"/>
  <c r="I62" i="36"/>
  <c r="P13" i="63" s="1"/>
  <c r="I58" i="36"/>
  <c r="P9" i="63" s="1"/>
  <c r="L59" i="36"/>
  <c r="L60" i="36"/>
  <c r="L61" i="36"/>
  <c r="L62" i="36"/>
  <c r="L4" i="21" l="1"/>
  <c r="L5" i="21"/>
  <c r="K44" i="59" l="1"/>
  <c r="J60" i="39"/>
  <c r="B3" i="53"/>
  <c r="B4" i="53"/>
  <c r="B5" i="53"/>
  <c r="B6" i="53"/>
  <c r="B7" i="53"/>
  <c r="B8" i="53"/>
  <c r="B9" i="53"/>
  <c r="B10" i="53"/>
  <c r="B11" i="53"/>
  <c r="B12" i="53"/>
  <c r="B13" i="53"/>
  <c r="B14" i="53"/>
  <c r="B15" i="53"/>
  <c r="B16" i="53"/>
  <c r="B17" i="53"/>
  <c r="B18" i="53"/>
  <c r="B19" i="53"/>
  <c r="B20" i="53"/>
  <c r="B2" i="53"/>
  <c r="C2" i="53"/>
  <c r="H11" i="62"/>
  <c r="I11" i="62"/>
  <c r="J11" i="62"/>
  <c r="H2" i="62"/>
  <c r="I2" i="62"/>
  <c r="J2" i="62" s="1"/>
  <c r="H3" i="62"/>
  <c r="I3" i="62"/>
  <c r="H4" i="62"/>
  <c r="I4" i="62"/>
  <c r="J4" i="62"/>
  <c r="H5" i="62"/>
  <c r="I5" i="62"/>
  <c r="J5" i="62"/>
  <c r="H6" i="62"/>
  <c r="I6" i="62"/>
  <c r="J6" i="62"/>
  <c r="H7" i="62"/>
  <c r="I7" i="62"/>
  <c r="J7" i="62"/>
  <c r="H8" i="62"/>
  <c r="I8" i="62"/>
  <c r="J8" i="62"/>
  <c r="H9" i="62"/>
  <c r="I9" i="62"/>
  <c r="J9" i="62"/>
  <c r="H10" i="62"/>
  <c r="I10" i="62"/>
  <c r="J10" i="62"/>
  <c r="G3" i="53"/>
  <c r="G4" i="53"/>
  <c r="G5" i="53"/>
  <c r="G6" i="53"/>
  <c r="G7" i="53"/>
  <c r="G8" i="53"/>
  <c r="G9" i="53"/>
  <c r="G10" i="53"/>
  <c r="G11" i="53"/>
  <c r="G12" i="53"/>
  <c r="G13" i="53"/>
  <c r="G14" i="53"/>
  <c r="G15" i="53"/>
  <c r="G16" i="53"/>
  <c r="G17" i="53"/>
  <c r="G18" i="53"/>
  <c r="G19" i="53"/>
  <c r="G20" i="53"/>
  <c r="G21" i="53"/>
  <c r="G2" i="53"/>
  <c r="L6" i="21"/>
  <c r="L7" i="21"/>
  <c r="L8" i="21"/>
  <c r="L9" i="21"/>
  <c r="L10" i="21"/>
  <c r="L11" i="21"/>
  <c r="L12" i="21"/>
  <c r="L13" i="21"/>
  <c r="L14" i="21"/>
  <c r="L15" i="21"/>
  <c r="L16" i="21"/>
  <c r="L17" i="21"/>
  <c r="L18" i="21"/>
  <c r="L19" i="21"/>
  <c r="L20" i="21"/>
  <c r="L21" i="21"/>
  <c r="L22" i="21"/>
  <c r="L23" i="21"/>
  <c r="M23" i="21" l="1"/>
  <c r="M24" i="21"/>
  <c r="M29" i="21"/>
  <c r="M5" i="21"/>
  <c r="M9" i="21"/>
  <c r="M21" i="21"/>
  <c r="M17" i="21"/>
  <c r="M14" i="21"/>
  <c r="M10" i="21"/>
  <c r="M16" i="21"/>
  <c r="M31" i="21"/>
  <c r="M32" i="21"/>
  <c r="M22" i="21"/>
  <c r="M13" i="21"/>
  <c r="M18" i="21"/>
  <c r="M11" i="21"/>
  <c r="M4" i="21"/>
  <c r="M19" i="21"/>
  <c r="M20" i="21"/>
  <c r="M26" i="21"/>
  <c r="M6" i="21"/>
  <c r="M25" i="21"/>
  <c r="M27" i="21"/>
  <c r="M30" i="21"/>
  <c r="M33" i="21"/>
  <c r="M12" i="21"/>
  <c r="M7" i="21"/>
  <c r="M8" i="21"/>
  <c r="M15" i="21"/>
  <c r="M28" i="21"/>
  <c r="AJ56" i="39"/>
  <c r="AJ55" i="39"/>
  <c r="AJ59" i="39"/>
  <c r="AJ54" i="39"/>
  <c r="AJ60" i="39"/>
  <c r="AJ58" i="39"/>
  <c r="AJ61" i="39"/>
  <c r="V67" i="59" s="1"/>
  <c r="AJ57" i="39"/>
  <c r="AJ53" i="39"/>
  <c r="K10" i="62"/>
  <c r="O10" i="62"/>
  <c r="L10" i="62"/>
  <c r="P10" i="62"/>
  <c r="M10" i="62"/>
  <c r="Q10" i="62"/>
  <c r="N10" i="62"/>
  <c r="R10" i="62"/>
  <c r="K8" i="62"/>
  <c r="O8" i="62"/>
  <c r="L8" i="62"/>
  <c r="P8" i="62"/>
  <c r="M8" i="62"/>
  <c r="Q8" i="62"/>
  <c r="N8" i="62"/>
  <c r="R8" i="62"/>
  <c r="K6" i="62"/>
  <c r="P6" i="62"/>
  <c r="M6" i="62"/>
  <c r="Q6" i="62"/>
  <c r="N6" i="62"/>
  <c r="K4" i="62"/>
  <c r="P4" i="62"/>
  <c r="M4" i="62"/>
  <c r="Q4" i="62"/>
  <c r="N4" i="62"/>
  <c r="K11" i="62"/>
  <c r="P11" i="62"/>
  <c r="M11" i="62"/>
  <c r="Q11" i="62"/>
  <c r="N11" i="62"/>
  <c r="K9" i="62"/>
  <c r="P9" i="62"/>
  <c r="M9" i="62"/>
  <c r="Q9" i="62"/>
  <c r="N9" i="62"/>
  <c r="K7" i="62"/>
  <c r="O7" i="62"/>
  <c r="L7" i="62"/>
  <c r="P7" i="62"/>
  <c r="M7" i="62"/>
  <c r="Q7" i="62"/>
  <c r="N7" i="62"/>
  <c r="R7" i="62"/>
  <c r="K5" i="62"/>
  <c r="P5" i="62"/>
  <c r="M5" i="62"/>
  <c r="Q5" i="62"/>
  <c r="N5" i="62"/>
  <c r="K3" i="62"/>
  <c r="P3" i="62"/>
  <c r="M3" i="62"/>
  <c r="Q3" i="62"/>
  <c r="N3" i="62"/>
  <c r="P2" i="62"/>
  <c r="N2" i="62"/>
  <c r="Q2" i="62"/>
  <c r="M2" i="62"/>
  <c r="AI2" i="62"/>
  <c r="W2" i="62"/>
  <c r="AG2" i="62"/>
  <c r="V2" i="62"/>
  <c r="U2" i="62"/>
  <c r="AE2" i="62"/>
  <c r="AF2" i="62"/>
  <c r="AK60" i="39"/>
  <c r="U10" i="62"/>
  <c r="AE10" i="62"/>
  <c r="V10" i="62"/>
  <c r="AG10" i="62"/>
  <c r="AF10" i="62"/>
  <c r="W10" i="62"/>
  <c r="T10" i="62"/>
  <c r="AD10" i="62"/>
  <c r="X10" i="62"/>
  <c r="AH10" i="62"/>
  <c r="Y10" i="62"/>
  <c r="AI10" i="62"/>
  <c r="AK58" i="39"/>
  <c r="AF8" i="62"/>
  <c r="W8" i="62"/>
  <c r="AG8" i="62"/>
  <c r="AE8" i="62"/>
  <c r="V8" i="62"/>
  <c r="U8" i="62"/>
  <c r="AH8" i="62"/>
  <c r="AI8" i="62"/>
  <c r="X8" i="62"/>
  <c r="Y8" i="62"/>
  <c r="T8" i="62"/>
  <c r="AD8" i="62"/>
  <c r="U6" i="62"/>
  <c r="AG6" i="62"/>
  <c r="AE6" i="62"/>
  <c r="V6" i="62"/>
  <c r="AF6" i="62"/>
  <c r="W6" i="62"/>
  <c r="T6" i="62"/>
  <c r="AI6" i="62"/>
  <c r="AD6" i="62"/>
  <c r="X6" i="62"/>
  <c r="AH6" i="62"/>
  <c r="Y6" i="62"/>
  <c r="AK54" i="39"/>
  <c r="AS4" i="62" s="1"/>
  <c r="AF4" i="62"/>
  <c r="W4" i="62"/>
  <c r="AG4" i="62"/>
  <c r="AE4" i="62"/>
  <c r="U4" i="62"/>
  <c r="V4" i="62"/>
  <c r="AH4" i="62"/>
  <c r="AI4" i="62"/>
  <c r="X4" i="62"/>
  <c r="Y4" i="62"/>
  <c r="T4" i="62"/>
  <c r="AD4" i="62"/>
  <c r="AK61" i="39"/>
  <c r="AS11" i="62" s="1"/>
  <c r="AE11" i="62"/>
  <c r="V11" i="62"/>
  <c r="U11" i="62"/>
  <c r="AF11" i="62"/>
  <c r="W11" i="62"/>
  <c r="AG11" i="62"/>
  <c r="AD11" i="62"/>
  <c r="Y11" i="62"/>
  <c r="X11" i="62"/>
  <c r="AH11" i="62"/>
  <c r="T11" i="62"/>
  <c r="AI11" i="62"/>
  <c r="AK59" i="39"/>
  <c r="AS9" i="62" s="1"/>
  <c r="AG9" i="62"/>
  <c r="U9" i="62"/>
  <c r="AE9" i="62"/>
  <c r="V9" i="62"/>
  <c r="AF9" i="62"/>
  <c r="W9" i="62"/>
  <c r="AI9" i="62"/>
  <c r="Y9" i="62"/>
  <c r="AH9" i="62"/>
  <c r="X9" i="62"/>
  <c r="T9" i="62"/>
  <c r="AD9" i="62"/>
  <c r="AK57" i="39"/>
  <c r="AE7" i="62"/>
  <c r="V7" i="62"/>
  <c r="U7" i="62"/>
  <c r="AF7" i="62"/>
  <c r="W7" i="62"/>
  <c r="AG7" i="62"/>
  <c r="AD7" i="62"/>
  <c r="Y7" i="62"/>
  <c r="AH7" i="62"/>
  <c r="T7" i="62"/>
  <c r="AI7" i="62"/>
  <c r="X7" i="62"/>
  <c r="AK55" i="39"/>
  <c r="AS5" i="62" s="1"/>
  <c r="AG5" i="62"/>
  <c r="U5" i="62"/>
  <c r="W5" i="62"/>
  <c r="AE5" i="62"/>
  <c r="V5" i="62"/>
  <c r="AF5" i="62"/>
  <c r="AI5" i="62"/>
  <c r="Y5" i="62"/>
  <c r="X5" i="62"/>
  <c r="AH5" i="62"/>
  <c r="AD5" i="62"/>
  <c r="T5" i="62"/>
  <c r="AK53" i="39"/>
  <c r="AS3" i="62" s="1"/>
  <c r="AE3" i="62"/>
  <c r="V3" i="62"/>
  <c r="U3" i="62"/>
  <c r="AF3" i="62"/>
  <c r="W3" i="62"/>
  <c r="AG3" i="62"/>
  <c r="AD3" i="62"/>
  <c r="Y3" i="62"/>
  <c r="AH3" i="62"/>
  <c r="T3" i="62"/>
  <c r="X3" i="62"/>
  <c r="AI3" i="62"/>
  <c r="AK56" i="39"/>
  <c r="AS6" i="62" s="1"/>
  <c r="AK52" i="39"/>
  <c r="AS2" i="62" s="1"/>
  <c r="M65" i="56"/>
  <c r="AO10" i="62"/>
  <c r="AC10" i="62"/>
  <c r="S10" i="62"/>
  <c r="AC8" i="62"/>
  <c r="S8" i="62"/>
  <c r="AO8" i="62"/>
  <c r="AO6" i="62"/>
  <c r="AC6" i="62"/>
  <c r="S6" i="62"/>
  <c r="AC4" i="62"/>
  <c r="S4" i="62"/>
  <c r="AO4" i="62"/>
  <c r="AO11" i="62"/>
  <c r="AC11" i="62"/>
  <c r="S11" i="62"/>
  <c r="S9" i="62"/>
  <c r="AO9" i="62"/>
  <c r="AC9" i="62"/>
  <c r="AO7" i="62"/>
  <c r="AC7" i="62"/>
  <c r="S7" i="62"/>
  <c r="S5" i="62"/>
  <c r="AO5" i="62"/>
  <c r="AC5" i="62"/>
  <c r="AO3" i="62"/>
  <c r="AC3" i="62"/>
  <c r="S3" i="62"/>
  <c r="AC2" i="62"/>
  <c r="S2" i="62"/>
  <c r="AS10" i="62"/>
  <c r="AS8" i="62"/>
  <c r="AS7" i="62"/>
  <c r="P13" i="39"/>
  <c r="P14" i="39"/>
  <c r="P15" i="39"/>
  <c r="P16" i="39"/>
  <c r="P17" i="39"/>
  <c r="D33" i="56" s="1"/>
  <c r="P18" i="39"/>
  <c r="D34" i="56" s="1"/>
  <c r="P19" i="39"/>
  <c r="P20" i="39"/>
  <c r="D36" i="56" s="1"/>
  <c r="P21" i="39"/>
  <c r="D37" i="56" s="1"/>
  <c r="P22" i="39"/>
  <c r="P23" i="39"/>
  <c r="P24" i="39"/>
  <c r="P25" i="39"/>
  <c r="P26" i="39"/>
  <c r="P27" i="39"/>
  <c r="P28" i="39"/>
  <c r="P29" i="39"/>
  <c r="P30" i="39"/>
  <c r="S13" i="39"/>
  <c r="R3" i="53" s="1"/>
  <c r="S14" i="39"/>
  <c r="R4" i="53" s="1"/>
  <c r="S15" i="39"/>
  <c r="R5" i="53" s="1"/>
  <c r="S16" i="39"/>
  <c r="R6" i="53" s="1"/>
  <c r="S17" i="39"/>
  <c r="R7" i="53" s="1"/>
  <c r="S18" i="39"/>
  <c r="R8" i="53" s="1"/>
  <c r="S19" i="39"/>
  <c r="R9" i="53" s="1"/>
  <c r="S20" i="39"/>
  <c r="R10" i="53" s="1"/>
  <c r="S21" i="39"/>
  <c r="S22" i="39"/>
  <c r="S23" i="39"/>
  <c r="S24" i="39"/>
  <c r="S25" i="39"/>
  <c r="S26" i="39"/>
  <c r="S27" i="39"/>
  <c r="S28" i="39"/>
  <c r="S29" i="39"/>
  <c r="S30" i="39"/>
  <c r="D41" i="56" l="1"/>
  <c r="D42" i="56"/>
  <c r="D40" i="56"/>
  <c r="M68" i="56"/>
  <c r="M66" i="56"/>
  <c r="J66" i="56"/>
  <c r="J68" i="56"/>
  <c r="J65" i="56"/>
  <c r="D43" i="56"/>
  <c r="D39" i="56"/>
  <c r="AN3" i="62"/>
  <c r="AM3" i="62"/>
  <c r="D35" i="56"/>
  <c r="D32" i="56"/>
  <c r="D30" i="56"/>
  <c r="AN9" i="62"/>
  <c r="AM9" i="62"/>
  <c r="D29" i="56"/>
  <c r="D28" i="56"/>
  <c r="D31" i="56"/>
  <c r="D38" i="56"/>
  <c r="O6" i="53"/>
  <c r="L6" i="53" s="1"/>
  <c r="AT6" i="53" s="1"/>
  <c r="O7" i="53"/>
  <c r="L7" i="53" s="1"/>
  <c r="AT7" i="53" s="1"/>
  <c r="O10" i="53"/>
  <c r="L10" i="53" s="1"/>
  <c r="O9" i="53"/>
  <c r="O8" i="53"/>
  <c r="L8" i="53" s="1"/>
  <c r="K66" i="56"/>
  <c r="K68" i="56"/>
  <c r="K65" i="56"/>
  <c r="R2" i="53"/>
  <c r="S42" i="39"/>
  <c r="P42" i="39"/>
  <c r="P62" i="59"/>
  <c r="R20" i="53"/>
  <c r="M62" i="59"/>
  <c r="O20" i="53"/>
  <c r="M61" i="59"/>
  <c r="O19" i="53"/>
  <c r="P61" i="59"/>
  <c r="R19" i="53"/>
  <c r="P59" i="59"/>
  <c r="R17" i="53"/>
  <c r="M59" i="59"/>
  <c r="O17" i="53"/>
  <c r="P58" i="59"/>
  <c r="R16" i="53"/>
  <c r="M58" i="59"/>
  <c r="O16" i="53"/>
  <c r="M57" i="59"/>
  <c r="O15" i="53"/>
  <c r="P57" i="59"/>
  <c r="R15" i="53"/>
  <c r="M56" i="59"/>
  <c r="O14" i="53"/>
  <c r="P56" i="59"/>
  <c r="R14" i="53"/>
  <c r="P55" i="59"/>
  <c r="R13" i="53"/>
  <c r="M55" i="59"/>
  <c r="O13" i="53"/>
  <c r="L9" i="53"/>
  <c r="R12" i="53"/>
  <c r="M54" i="59"/>
  <c r="O12" i="53"/>
  <c r="R11" i="53"/>
  <c r="O11" i="53"/>
  <c r="O5" i="53"/>
  <c r="L5" i="53" s="1"/>
  <c r="P60" i="59"/>
  <c r="R18" i="53"/>
  <c r="M60" i="59"/>
  <c r="O18" i="53"/>
  <c r="O4" i="53"/>
  <c r="L4" i="53" s="1"/>
  <c r="AT4" i="53" s="1"/>
  <c r="O3" i="53"/>
  <c r="L3" i="53" s="1"/>
  <c r="AT3" i="53" s="1"/>
  <c r="O2" i="53"/>
  <c r="AT8" i="62"/>
  <c r="AT7" i="62"/>
  <c r="AT10" i="62"/>
  <c r="J45" i="59"/>
  <c r="K45" i="59"/>
  <c r="L45" i="59"/>
  <c r="N45" i="59"/>
  <c r="O45" i="59"/>
  <c r="J46" i="59"/>
  <c r="K46" i="59"/>
  <c r="L46" i="59"/>
  <c r="N46" i="59"/>
  <c r="O46" i="59"/>
  <c r="J47" i="59"/>
  <c r="K47" i="59"/>
  <c r="L47" i="59"/>
  <c r="N47" i="59"/>
  <c r="O47" i="59"/>
  <c r="J48" i="59"/>
  <c r="K48" i="59"/>
  <c r="L48" i="59"/>
  <c r="N48" i="59"/>
  <c r="O48" i="59"/>
  <c r="J49" i="59"/>
  <c r="K49" i="59"/>
  <c r="L49" i="59"/>
  <c r="N49" i="59"/>
  <c r="O49" i="59"/>
  <c r="J50" i="59"/>
  <c r="K50" i="59"/>
  <c r="L50" i="59"/>
  <c r="N50" i="59"/>
  <c r="O50" i="59"/>
  <c r="J51" i="59"/>
  <c r="K51" i="59"/>
  <c r="L51" i="59"/>
  <c r="N51" i="59"/>
  <c r="O51" i="59"/>
  <c r="J52" i="59"/>
  <c r="K52" i="59"/>
  <c r="L52" i="59"/>
  <c r="N52" i="59"/>
  <c r="O52" i="59"/>
  <c r="J53" i="59"/>
  <c r="K53" i="59"/>
  <c r="L53" i="59"/>
  <c r="N53" i="59"/>
  <c r="O53" i="59"/>
  <c r="J54" i="59"/>
  <c r="K54" i="59"/>
  <c r="L54" i="59"/>
  <c r="N54" i="59"/>
  <c r="O54" i="59"/>
  <c r="J55" i="59"/>
  <c r="K55" i="59"/>
  <c r="L55" i="59"/>
  <c r="N55" i="59"/>
  <c r="O55" i="59"/>
  <c r="J56" i="59"/>
  <c r="K56" i="59"/>
  <c r="L56" i="59"/>
  <c r="N56" i="59"/>
  <c r="O56" i="59"/>
  <c r="J57" i="59"/>
  <c r="K57" i="59"/>
  <c r="L57" i="59"/>
  <c r="N57" i="59"/>
  <c r="O57" i="59"/>
  <c r="J58" i="59"/>
  <c r="K58" i="59"/>
  <c r="L58" i="59"/>
  <c r="N58" i="59"/>
  <c r="O58" i="59"/>
  <c r="J59" i="59"/>
  <c r="K59" i="59"/>
  <c r="L59" i="59"/>
  <c r="N59" i="59"/>
  <c r="O59" i="59"/>
  <c r="J60" i="59"/>
  <c r="K60" i="59"/>
  <c r="L60" i="59"/>
  <c r="N60" i="59"/>
  <c r="O60" i="59"/>
  <c r="J61" i="59"/>
  <c r="K61" i="59"/>
  <c r="L61" i="59"/>
  <c r="N61" i="59"/>
  <c r="O61" i="59"/>
  <c r="J62" i="59"/>
  <c r="K62" i="59"/>
  <c r="L62" i="59"/>
  <c r="N62" i="59"/>
  <c r="O62" i="59"/>
  <c r="O44" i="59"/>
  <c r="N44" i="59"/>
  <c r="L44" i="59"/>
  <c r="E45" i="59"/>
  <c r="E47" i="59"/>
  <c r="E48" i="59"/>
  <c r="E49" i="59"/>
  <c r="E50" i="59"/>
  <c r="E51" i="59"/>
  <c r="E52" i="59"/>
  <c r="E53" i="59"/>
  <c r="E54" i="59"/>
  <c r="E55" i="59"/>
  <c r="E56" i="59"/>
  <c r="E57" i="59"/>
  <c r="E58" i="59"/>
  <c r="E59" i="59"/>
  <c r="E60" i="59"/>
  <c r="E61" i="59"/>
  <c r="E62" i="59"/>
  <c r="W49" i="39"/>
  <c r="J54" i="39"/>
  <c r="J55" i="39"/>
  <c r="J56" i="39"/>
  <c r="J57" i="39"/>
  <c r="J58" i="39"/>
  <c r="J59" i="39"/>
  <c r="J61" i="39"/>
  <c r="Z46" i="59" l="1"/>
  <c r="X46" i="59" s="1"/>
  <c r="Z45" i="59"/>
  <c r="X45" i="59" s="1"/>
  <c r="C68" i="56"/>
  <c r="C65" i="56"/>
  <c r="C66" i="56"/>
  <c r="L2" i="53"/>
  <c r="AT2" i="53" s="1"/>
  <c r="L13" i="53"/>
  <c r="AT13" i="53" s="1"/>
  <c r="L17" i="53"/>
  <c r="AT17" i="53" s="1"/>
  <c r="L12" i="53"/>
  <c r="AT12" i="53" s="1"/>
  <c r="L11" i="53"/>
  <c r="AT11" i="53" s="1"/>
  <c r="L20" i="53"/>
  <c r="AT20" i="53" s="1"/>
  <c r="L16" i="53"/>
  <c r="AT16" i="53" s="1"/>
  <c r="L19" i="53"/>
  <c r="AT19" i="53" s="1"/>
  <c r="L18" i="53"/>
  <c r="AT18" i="53" s="1"/>
  <c r="L15" i="53"/>
  <c r="AT15" i="53" s="1"/>
  <c r="L14" i="53"/>
  <c r="AT14" i="53" s="1"/>
  <c r="AT10" i="53"/>
  <c r="AT8" i="53"/>
  <c r="AT9" i="53"/>
  <c r="AT5" i="53"/>
  <c r="N75" i="59"/>
  <c r="S57" i="39"/>
  <c r="P57" i="39"/>
  <c r="P59" i="39"/>
  <c r="S59" i="39"/>
  <c r="S56" i="39"/>
  <c r="R6" i="62" s="1"/>
  <c r="P56" i="39"/>
  <c r="S52" i="39"/>
  <c r="M73" i="59"/>
  <c r="S61" i="39"/>
  <c r="P61" i="39"/>
  <c r="M67" i="59" s="1"/>
  <c r="S60" i="39"/>
  <c r="P60" i="39"/>
  <c r="P55" i="39"/>
  <c r="S55" i="39"/>
  <c r="S53" i="39"/>
  <c r="P51" i="59" s="1"/>
  <c r="P53" i="39"/>
  <c r="S58" i="39"/>
  <c r="P58" i="39"/>
  <c r="S54" i="39"/>
  <c r="P54" i="39"/>
  <c r="D2" i="62"/>
  <c r="F2" i="62"/>
  <c r="C2" i="62"/>
  <c r="G2" i="62"/>
  <c r="D6" i="62"/>
  <c r="F6" i="62"/>
  <c r="AR6" i="62"/>
  <c r="C6" i="62"/>
  <c r="B6" i="62" s="1"/>
  <c r="G6" i="62"/>
  <c r="F3" i="62"/>
  <c r="C3" i="62"/>
  <c r="B3" i="62" s="1"/>
  <c r="G3" i="62"/>
  <c r="D3" i="62"/>
  <c r="D10" i="62"/>
  <c r="B10" i="62"/>
  <c r="C10" i="62"/>
  <c r="AR10" i="62"/>
  <c r="F10" i="62"/>
  <c r="G10" i="62"/>
  <c r="F5" i="62"/>
  <c r="C5" i="62"/>
  <c r="B5" i="62" s="1"/>
  <c r="G5" i="62"/>
  <c r="D5" i="62"/>
  <c r="B8" i="62"/>
  <c r="F8" i="62"/>
  <c r="AR8" i="62"/>
  <c r="C8" i="62"/>
  <c r="G8" i="62"/>
  <c r="D8" i="62"/>
  <c r="C7" i="62"/>
  <c r="G7" i="62"/>
  <c r="D7" i="62"/>
  <c r="F7" i="62"/>
  <c r="AR7" i="62"/>
  <c r="B7" i="62"/>
  <c r="F9" i="62"/>
  <c r="AR9" i="62"/>
  <c r="G9" i="62"/>
  <c r="C9" i="62"/>
  <c r="B9" i="62" s="1"/>
  <c r="D9" i="62"/>
  <c r="F4" i="62"/>
  <c r="C4" i="62"/>
  <c r="G4" i="62"/>
  <c r="D4" i="62"/>
  <c r="F11" i="62"/>
  <c r="C11" i="62"/>
  <c r="B11" i="62" s="1"/>
  <c r="G11" i="62"/>
  <c r="D11" i="62"/>
  <c r="AR11" i="62"/>
  <c r="D61" i="56" l="1"/>
  <c r="M51" i="59"/>
  <c r="D67" i="56"/>
  <c r="D60" i="56"/>
  <c r="P54" i="59"/>
  <c r="R11" i="62"/>
  <c r="P67" i="59"/>
  <c r="M69" i="59"/>
  <c r="M68" i="59"/>
  <c r="O11" i="62"/>
  <c r="P50" i="59"/>
  <c r="P73" i="59"/>
  <c r="B4" i="62"/>
  <c r="M71" i="59"/>
  <c r="O9" i="62"/>
  <c r="P71" i="59"/>
  <c r="R9" i="62"/>
  <c r="R4" i="62"/>
  <c r="P69" i="59"/>
  <c r="R3" i="62"/>
  <c r="P68" i="59"/>
  <c r="O4" i="62"/>
  <c r="M50" i="59"/>
  <c r="O6" i="62"/>
  <c r="L6" i="62" s="1"/>
  <c r="AT6" i="62" s="1"/>
  <c r="R5" i="62"/>
  <c r="P53" i="59"/>
  <c r="O5" i="62"/>
  <c r="M53" i="59"/>
  <c r="B2" i="62"/>
  <c r="O3" i="62"/>
  <c r="O2" i="62"/>
  <c r="P44" i="59"/>
  <c r="R2" i="62"/>
  <c r="M47" i="59"/>
  <c r="P49" i="59"/>
  <c r="M49" i="59"/>
  <c r="P47" i="59"/>
  <c r="M48" i="59"/>
  <c r="M52" i="59"/>
  <c r="P48" i="59"/>
  <c r="P52" i="59"/>
  <c r="M46" i="59"/>
  <c r="P46" i="59"/>
  <c r="M45" i="59"/>
  <c r="AR5" i="62"/>
  <c r="P45" i="59"/>
  <c r="M44" i="59"/>
  <c r="L11" i="62" l="1"/>
  <c r="AT11" i="62" s="1"/>
  <c r="L4" i="62"/>
  <c r="AT4" i="62" s="1"/>
  <c r="L3" i="62"/>
  <c r="AT3" i="62" s="1"/>
  <c r="L9" i="62"/>
  <c r="AT9" i="62" s="1"/>
  <c r="L5" i="62"/>
  <c r="AT5" i="62" s="1"/>
  <c r="L2" i="62"/>
  <c r="AT2" i="62" s="1"/>
  <c r="M75" i="59"/>
  <c r="M76" i="59"/>
  <c r="P76" i="59"/>
  <c r="P75" i="59"/>
  <c r="D16" i="56" l="1"/>
  <c r="D25" i="55" l="1"/>
  <c r="D26" i="55"/>
  <c r="D27" i="55"/>
  <c r="D28" i="55"/>
  <c r="D29" i="55"/>
  <c r="D30" i="55"/>
  <c r="D31" i="55"/>
  <c r="D32" i="55"/>
  <c r="D33" i="55"/>
  <c r="D34" i="55"/>
  <c r="D35" i="55"/>
  <c r="D36" i="55"/>
  <c r="D37" i="55"/>
  <c r="D38" i="55"/>
  <c r="D39" i="55"/>
  <c r="D40" i="55"/>
  <c r="D41" i="55"/>
  <c r="D42" i="55"/>
  <c r="D24" i="55"/>
  <c r="V53" i="59"/>
  <c r="V54" i="59"/>
  <c r="V55" i="59"/>
  <c r="V56" i="59"/>
  <c r="V57" i="59"/>
  <c r="V58" i="59"/>
  <c r="V59" i="59"/>
  <c r="V60" i="59"/>
  <c r="V61" i="59"/>
  <c r="V62" i="59"/>
  <c r="O76" i="59" l="1"/>
  <c r="F15" i="54"/>
  <c r="F28" i="54"/>
  <c r="F27" i="54"/>
  <c r="F26" i="54"/>
  <c r="F25" i="54"/>
  <c r="F24" i="54"/>
  <c r="F23" i="54"/>
  <c r="F22" i="54"/>
  <c r="F21" i="54"/>
  <c r="F20" i="54"/>
  <c r="F19" i="54"/>
  <c r="F18" i="54"/>
  <c r="F17" i="54"/>
  <c r="F16" i="54"/>
  <c r="F14" i="54"/>
  <c r="F13" i="54"/>
  <c r="F12" i="54"/>
  <c r="F11" i="54"/>
  <c r="F10" i="54"/>
  <c r="E28" i="54"/>
  <c r="E27" i="54"/>
  <c r="E26" i="54"/>
  <c r="E25" i="54"/>
  <c r="E24" i="54"/>
  <c r="E23" i="54"/>
  <c r="E22" i="54"/>
  <c r="E21" i="54"/>
  <c r="E20" i="54"/>
  <c r="E19" i="54"/>
  <c r="E18" i="54"/>
  <c r="E17" i="54"/>
  <c r="E16" i="54"/>
  <c r="E15" i="54"/>
  <c r="E14" i="54"/>
  <c r="E13" i="54"/>
  <c r="E12" i="54"/>
  <c r="E11" i="54"/>
  <c r="E10" i="54"/>
  <c r="F34" i="59" l="1"/>
  <c r="F36" i="59" s="1"/>
  <c r="O75" i="59"/>
  <c r="D17" i="56" s="1"/>
  <c r="N76" i="59"/>
  <c r="K2" i="60"/>
  <c r="L2" i="60"/>
  <c r="M2" i="60"/>
  <c r="N2" i="60"/>
  <c r="F31" i="59" l="1"/>
  <c r="F42" i="57"/>
  <c r="C11" i="54"/>
  <c r="J11" i="54" s="1"/>
  <c r="C12" i="54"/>
  <c r="J12" i="54" s="1"/>
  <c r="C13" i="54"/>
  <c r="J13" i="54" s="1"/>
  <c r="C14" i="54"/>
  <c r="J14" i="54" s="1"/>
  <c r="C15" i="54"/>
  <c r="J15" i="54" s="1"/>
  <c r="C16" i="54"/>
  <c r="J16" i="54" s="1"/>
  <c r="C17" i="54"/>
  <c r="J17" i="54" s="1"/>
  <c r="C18" i="54"/>
  <c r="J18" i="54" s="1"/>
  <c r="C19" i="54"/>
  <c r="J19" i="54" s="1"/>
  <c r="C20" i="54"/>
  <c r="J20" i="54" s="1"/>
  <c r="C21" i="54"/>
  <c r="J21" i="54" s="1"/>
  <c r="C22" i="54"/>
  <c r="J22" i="54" s="1"/>
  <c r="C23" i="54"/>
  <c r="J23" i="54" s="1"/>
  <c r="C24" i="54"/>
  <c r="J24" i="54" s="1"/>
  <c r="C25" i="54"/>
  <c r="J25" i="54" s="1"/>
  <c r="C26" i="54"/>
  <c r="J26" i="54" s="1"/>
  <c r="C27" i="54"/>
  <c r="J27" i="54" s="1"/>
  <c r="C28" i="54"/>
  <c r="J28" i="54" s="1"/>
  <c r="C10" i="54"/>
  <c r="J10" i="54" s="1"/>
  <c r="E8" i="37" l="1"/>
  <c r="D8" i="37"/>
  <c r="E5" i="37"/>
  <c r="D5" i="37"/>
  <c r="E9" i="37"/>
  <c r="D9" i="37"/>
  <c r="J19" i="39" l="1"/>
  <c r="J13" i="39"/>
  <c r="J15" i="39"/>
  <c r="J16" i="39"/>
  <c r="J17" i="39"/>
  <c r="J18" i="39"/>
  <c r="J20" i="39"/>
  <c r="J21" i="39"/>
  <c r="J22" i="39"/>
  <c r="J23" i="39"/>
  <c r="J24" i="39"/>
  <c r="J25" i="39"/>
  <c r="J26" i="39"/>
  <c r="J27" i="39"/>
  <c r="J28" i="39"/>
  <c r="J29" i="39"/>
  <c r="J30" i="39"/>
  <c r="H3" i="53" l="1"/>
  <c r="I3" i="53"/>
  <c r="J3" i="53" s="1"/>
  <c r="H4" i="53"/>
  <c r="I4" i="53"/>
  <c r="H5" i="53"/>
  <c r="I5" i="53"/>
  <c r="J5" i="53" s="1"/>
  <c r="H6" i="53"/>
  <c r="I6" i="53"/>
  <c r="J6" i="53" s="1"/>
  <c r="H7" i="53"/>
  <c r="I7" i="53"/>
  <c r="J7" i="53" s="1"/>
  <c r="H8" i="53"/>
  <c r="I8" i="53"/>
  <c r="J8" i="53" s="1"/>
  <c r="H9" i="53"/>
  <c r="I9" i="53"/>
  <c r="J9" i="53" s="1"/>
  <c r="H10" i="53"/>
  <c r="I10" i="53"/>
  <c r="J10" i="53"/>
  <c r="H11" i="53"/>
  <c r="I11" i="53"/>
  <c r="J11" i="53" s="1"/>
  <c r="H12" i="53"/>
  <c r="I12" i="53"/>
  <c r="J12" i="53"/>
  <c r="H13" i="53"/>
  <c r="I13" i="53"/>
  <c r="J13" i="53" s="1"/>
  <c r="H14" i="53"/>
  <c r="I14" i="53"/>
  <c r="J14" i="53"/>
  <c r="H15" i="53"/>
  <c r="I15" i="53"/>
  <c r="J15" i="53"/>
  <c r="H16" i="53"/>
  <c r="I16" i="53"/>
  <c r="J16" i="53"/>
  <c r="H17" i="53"/>
  <c r="I17" i="53"/>
  <c r="J17" i="53" s="1"/>
  <c r="H18" i="53"/>
  <c r="I18" i="53"/>
  <c r="J18" i="53"/>
  <c r="H19" i="53"/>
  <c r="I19" i="53"/>
  <c r="J19" i="53"/>
  <c r="H20" i="53"/>
  <c r="I20" i="53"/>
  <c r="J20" i="53"/>
  <c r="H21" i="53"/>
  <c r="I21" i="53"/>
  <c r="J21" i="53"/>
  <c r="I2" i="53"/>
  <c r="H2" i="53"/>
  <c r="J2" i="52"/>
  <c r="B2" i="52"/>
  <c r="F33" i="59" l="1"/>
  <c r="F37" i="59" s="1"/>
  <c r="Z2" i="60" s="1"/>
  <c r="I2" i="60" l="1"/>
  <c r="F3" i="63" l="1"/>
  <c r="F2" i="63"/>
  <c r="K3" i="60" l="1"/>
  <c r="Q2" i="60"/>
  <c r="K7" i="60"/>
  <c r="K8" i="60"/>
  <c r="P2" i="60"/>
  <c r="C2" i="60" l="1"/>
  <c r="J20" i="36" l="1"/>
  <c r="C6" i="56" l="1"/>
  <c r="F4" i="63"/>
  <c r="V51" i="59"/>
  <c r="C5" i="56"/>
  <c r="K20" i="36"/>
  <c r="J18" i="36"/>
  <c r="J16" i="36"/>
  <c r="J14" i="36"/>
  <c r="J26" i="36"/>
  <c r="V45" i="59" l="1"/>
  <c r="V52" i="59"/>
  <c r="AR2" i="62"/>
  <c r="V44" i="59"/>
  <c r="V50" i="59"/>
  <c r="AR4" i="62"/>
  <c r="AR3" i="62"/>
  <c r="V48" i="59"/>
  <c r="V49" i="59"/>
  <c r="V47" i="59"/>
  <c r="V46" i="59"/>
  <c r="J24" i="36"/>
  <c r="J22" i="36"/>
  <c r="H2" i="60" l="1"/>
  <c r="C3" i="53"/>
  <c r="D3" i="53"/>
  <c r="F3" i="53"/>
  <c r="C4" i="53"/>
  <c r="D4" i="53"/>
  <c r="F4" i="53"/>
  <c r="C5" i="53"/>
  <c r="D5" i="53"/>
  <c r="F5" i="53"/>
  <c r="C6" i="53"/>
  <c r="D6" i="53"/>
  <c r="F6" i="53"/>
  <c r="C7" i="53"/>
  <c r="D7" i="53"/>
  <c r="F7" i="53"/>
  <c r="C8" i="53"/>
  <c r="D8" i="53"/>
  <c r="F8" i="53"/>
  <c r="C9" i="53"/>
  <c r="D9" i="53"/>
  <c r="F9" i="53"/>
  <c r="C10" i="53"/>
  <c r="D10" i="53"/>
  <c r="F10" i="53"/>
  <c r="C11" i="53"/>
  <c r="D11" i="53"/>
  <c r="F11" i="53"/>
  <c r="C12" i="53"/>
  <c r="D12" i="53"/>
  <c r="F12" i="53"/>
  <c r="C13" i="53"/>
  <c r="D13" i="53"/>
  <c r="F13" i="53"/>
  <c r="C14" i="53"/>
  <c r="D14" i="53"/>
  <c r="F14" i="53"/>
  <c r="C15" i="53"/>
  <c r="D15" i="53"/>
  <c r="F15" i="53"/>
  <c r="C16" i="53"/>
  <c r="D16" i="53"/>
  <c r="F16" i="53"/>
  <c r="C17" i="53"/>
  <c r="D17" i="53"/>
  <c r="F17" i="53"/>
  <c r="C18" i="53"/>
  <c r="D18" i="53"/>
  <c r="F18" i="53"/>
  <c r="C19" i="53"/>
  <c r="D19" i="53"/>
  <c r="F19" i="53"/>
  <c r="C20" i="53"/>
  <c r="D20" i="53"/>
  <c r="F20" i="53"/>
  <c r="C21" i="53"/>
  <c r="D21" i="53"/>
  <c r="F21" i="53"/>
  <c r="C2" i="52" l="1"/>
  <c r="D2" i="52"/>
  <c r="E2" i="52"/>
  <c r="F2" i="52"/>
  <c r="G2" i="52"/>
  <c r="H2" i="52"/>
  <c r="I2" i="52"/>
  <c r="M2" i="52"/>
  <c r="J8" i="58" l="1"/>
  <c r="J51" i="58"/>
  <c r="K9" i="15" l="1"/>
  <c r="K12" i="15"/>
  <c r="C14" i="42"/>
  <c r="K14" i="42" s="1"/>
  <c r="C76" i="59" l="1"/>
  <c r="J76" i="59" l="1"/>
  <c r="K76" i="59"/>
  <c r="L76" i="59"/>
  <c r="J75" i="59"/>
  <c r="K75" i="59"/>
  <c r="D14" i="56" s="1"/>
  <c r="L75" i="59"/>
  <c r="D15" i="56" s="1"/>
  <c r="E31" i="59" l="1"/>
  <c r="E33" i="59" s="1"/>
  <c r="R2" i="60" s="1"/>
  <c r="E26" i="59"/>
  <c r="G26" i="59" s="1"/>
  <c r="AA2" i="60" s="1"/>
  <c r="E34" i="59"/>
  <c r="E36" i="59" s="1"/>
  <c r="S2" i="60" s="1"/>
  <c r="J59" i="58"/>
  <c r="J60" i="58"/>
  <c r="J61" i="58"/>
  <c r="J62" i="58"/>
  <c r="J63" i="58"/>
  <c r="J64" i="58"/>
  <c r="J65" i="58"/>
  <c r="J66" i="58"/>
  <c r="J67" i="58"/>
  <c r="J68" i="58"/>
  <c r="J46" i="58"/>
  <c r="J47" i="58"/>
  <c r="J48" i="58"/>
  <c r="J49" i="58"/>
  <c r="J50" i="58"/>
  <c r="J53" i="58"/>
  <c r="J54" i="58"/>
  <c r="J34" i="58"/>
  <c r="J29" i="58"/>
  <c r="J30" i="58"/>
  <c r="J31" i="58"/>
  <c r="J32" i="58"/>
  <c r="J33" i="58"/>
  <c r="J26" i="58"/>
  <c r="J17" i="58"/>
  <c r="J18" i="58"/>
  <c r="J19" i="58"/>
  <c r="J20" i="58"/>
  <c r="J21" i="58"/>
  <c r="J22" i="58"/>
  <c r="J23" i="58"/>
  <c r="J24" i="58"/>
  <c r="J25" i="58"/>
  <c r="J9" i="58"/>
  <c r="J10" i="58"/>
  <c r="J11" i="58"/>
  <c r="J12" i="58"/>
  <c r="J13" i="58"/>
  <c r="J14" i="58"/>
  <c r="J15" i="58"/>
  <c r="J16" i="58"/>
  <c r="C73" i="58"/>
  <c r="C74" i="58"/>
  <c r="C75" i="58"/>
  <c r="C76" i="58"/>
  <c r="C65" i="58"/>
  <c r="C66" i="58"/>
  <c r="C67" i="58"/>
  <c r="C68" i="58"/>
  <c r="C69" i="58"/>
  <c r="C58" i="58"/>
  <c r="C59" i="58"/>
  <c r="C60" i="58"/>
  <c r="C61" i="58"/>
  <c r="C49" i="58"/>
  <c r="C50" i="58"/>
  <c r="C51" i="58"/>
  <c r="C52" i="58"/>
  <c r="C53" i="58"/>
  <c r="C54" i="58"/>
  <c r="C33" i="58"/>
  <c r="C34" i="58"/>
  <c r="C35" i="58"/>
  <c r="C36" i="58"/>
  <c r="C39" i="58"/>
  <c r="C40" i="58"/>
  <c r="C41" i="58"/>
  <c r="C42" i="58"/>
  <c r="C43" i="58"/>
  <c r="C44" i="58"/>
  <c r="C45" i="58"/>
  <c r="C8" i="58"/>
  <c r="C9" i="58"/>
  <c r="C10" i="58"/>
  <c r="C11" i="58"/>
  <c r="C24" i="58"/>
  <c r="C25" i="58"/>
  <c r="C26" i="58"/>
  <c r="C27" i="58"/>
  <c r="C28" i="58"/>
  <c r="C29" i="58"/>
  <c r="C15" i="58"/>
  <c r="C16" i="58"/>
  <c r="C17" i="58"/>
  <c r="C18" i="58"/>
  <c r="C19" i="58"/>
  <c r="J45" i="58"/>
  <c r="J57" i="58"/>
  <c r="J71" i="58"/>
  <c r="C14" i="58"/>
  <c r="C32" i="58"/>
  <c r="C48" i="58"/>
  <c r="C57" i="58"/>
  <c r="C64" i="58"/>
  <c r="C72" i="58"/>
  <c r="J7" i="58"/>
  <c r="J37" i="58"/>
  <c r="B21" i="58"/>
  <c r="B31" i="58"/>
  <c r="B47" i="58"/>
  <c r="B56" i="58"/>
  <c r="B63" i="58"/>
  <c r="B71" i="58"/>
  <c r="I6" i="58"/>
  <c r="I28" i="58"/>
  <c r="I36" i="58"/>
  <c r="I44" i="58"/>
  <c r="I56" i="58"/>
  <c r="I70" i="58"/>
  <c r="B13" i="58"/>
  <c r="C7" i="58"/>
  <c r="B6" i="58"/>
  <c r="E37" i="59" l="1"/>
  <c r="Y2" i="60" s="1"/>
  <c r="C29" i="42"/>
  <c r="K29" i="42" s="1"/>
  <c r="C28" i="42"/>
  <c r="K28" i="42" s="1"/>
  <c r="C27" i="42"/>
  <c r="K27" i="42" s="1"/>
  <c r="C26" i="42"/>
  <c r="K26" i="42" s="1"/>
  <c r="C25" i="42"/>
  <c r="K25" i="42" s="1"/>
  <c r="C24" i="42"/>
  <c r="K24" i="42" s="1"/>
  <c r="C23" i="42"/>
  <c r="K23" i="42" s="1"/>
  <c r="C22" i="42"/>
  <c r="K22" i="42" s="1"/>
  <c r="C21" i="42"/>
  <c r="K21" i="42" s="1"/>
  <c r="C20" i="42"/>
  <c r="K20" i="42" s="1"/>
  <c r="C19" i="42"/>
  <c r="K19" i="42" s="1"/>
  <c r="C18" i="42"/>
  <c r="K18" i="42" s="1"/>
  <c r="C17" i="42"/>
  <c r="K17" i="42" s="1"/>
  <c r="C16" i="42"/>
  <c r="K16" i="42" s="1"/>
  <c r="C15" i="42"/>
  <c r="K15" i="42" s="1"/>
  <c r="C13" i="42"/>
  <c r="K13" i="42" s="1"/>
  <c r="C12" i="42"/>
  <c r="K12" i="42" s="1"/>
  <c r="C11" i="42"/>
  <c r="K11" i="42" s="1"/>
  <c r="E38" i="59" l="1"/>
  <c r="L38" i="59" s="1"/>
  <c r="I27" i="54"/>
  <c r="I28" i="54"/>
  <c r="T2" i="60" l="1"/>
  <c r="D42" i="57"/>
  <c r="D22" i="56" s="1"/>
  <c r="B27" i="59" s="1"/>
  <c r="C78" i="22" l="1"/>
  <c r="P24" i="65" s="1"/>
  <c r="F14" i="55" s="1"/>
  <c r="D48" i="57"/>
  <c r="B78" i="22"/>
  <c r="P14" i="65"/>
  <c r="F13" i="55" s="1"/>
  <c r="F79" i="22" s="1"/>
  <c r="J53" i="39"/>
  <c r="K2" i="52"/>
  <c r="J4" i="53" s="1"/>
  <c r="K59" i="36"/>
  <c r="I17" i="36"/>
  <c r="K17" i="36" s="1"/>
  <c r="I19" i="36"/>
  <c r="K19" i="36" s="1"/>
  <c r="I15" i="36"/>
  <c r="K15" i="36" s="1"/>
  <c r="I13" i="36"/>
  <c r="K13" i="36" s="1"/>
  <c r="V49" i="39"/>
  <c r="U49" i="39"/>
  <c r="F42" i="42"/>
  <c r="E42" i="42"/>
  <c r="F9" i="55" l="1"/>
  <c r="J2" i="53"/>
  <c r="J3" i="62"/>
  <c r="N2" i="52"/>
  <c r="G51" i="36" s="1"/>
  <c r="E55" i="36" l="1"/>
  <c r="N6" i="63" s="1"/>
  <c r="G52" i="36"/>
  <c r="O3" i="63" s="1"/>
  <c r="O2" i="63"/>
  <c r="G53" i="36"/>
  <c r="O4" i="63" s="1"/>
  <c r="F80" i="22"/>
  <c r="T3" i="53"/>
  <c r="Y3" i="53"/>
  <c r="V51" i="39"/>
  <c r="U51" i="39"/>
  <c r="F10" i="42"/>
  <c r="E56" i="36"/>
  <c r="N7" i="63" s="1"/>
  <c r="E54" i="36"/>
  <c r="N5" i="63" s="1"/>
  <c r="E57" i="36"/>
  <c r="N8" i="63" s="1"/>
  <c r="G55" i="36"/>
  <c r="O6" i="63" s="1"/>
  <c r="G57" i="36"/>
  <c r="O8" i="63" s="1"/>
  <c r="E51" i="36"/>
  <c r="N2" i="63" s="1"/>
  <c r="E52" i="36"/>
  <c r="N3" i="63" s="1"/>
  <c r="E53" i="36"/>
  <c r="N4" i="63" s="1"/>
  <c r="G54" i="36"/>
  <c r="O5" i="63" s="1"/>
  <c r="G56" i="36"/>
  <c r="O7" i="63" s="1"/>
  <c r="T2" i="62" l="1"/>
  <c r="Z42" i="39"/>
  <c r="T2" i="53"/>
  <c r="Y42" i="39"/>
  <c r="U3" i="53"/>
  <c r="V3" i="53"/>
  <c r="U2" i="53"/>
  <c r="V2" i="53"/>
  <c r="AD52" i="39"/>
  <c r="Q54" i="59" s="1"/>
  <c r="Y2" i="62"/>
  <c r="AD13" i="39"/>
  <c r="AD42" i="39" s="1"/>
  <c r="AD3" i="53"/>
  <c r="X3" i="53"/>
  <c r="Y2" i="53"/>
  <c r="AI3" i="53"/>
  <c r="AF5" i="50"/>
  <c r="AE5" i="50"/>
  <c r="O21" i="36" s="1"/>
  <c r="I54" i="36"/>
  <c r="P5" i="63" s="1"/>
  <c r="I57" i="36"/>
  <c r="P8" i="63" s="1"/>
  <c r="I53" i="36"/>
  <c r="P4" i="63" s="1"/>
  <c r="I55" i="36"/>
  <c r="P6" i="63" s="1"/>
  <c r="I56" i="36"/>
  <c r="P7" i="63" s="1"/>
  <c r="K51" i="36"/>
  <c r="I51" i="36"/>
  <c r="P2" i="63" s="1"/>
  <c r="I52" i="36"/>
  <c r="P3" i="63" s="1"/>
  <c r="D91" i="22" l="1"/>
  <c r="D90" i="22"/>
  <c r="D89" i="22"/>
  <c r="O25" i="36"/>
  <c r="C8" i="56" s="1"/>
  <c r="E97" i="22"/>
  <c r="E98" i="22"/>
  <c r="F98" i="22" s="1"/>
  <c r="AM2" i="62"/>
  <c r="AM2" i="53"/>
  <c r="AM3" i="53"/>
  <c r="AD2" i="62"/>
  <c r="AN2" i="62" s="1"/>
  <c r="AQ2" i="62" s="1"/>
  <c r="AC42" i="39"/>
  <c r="Q73" i="59"/>
  <c r="Q48" i="59"/>
  <c r="AG42" i="39"/>
  <c r="AD2" i="53"/>
  <c r="AB42" i="39"/>
  <c r="Q44" i="59"/>
  <c r="AE3" i="53"/>
  <c r="AF3" i="53"/>
  <c r="AE2" i="53"/>
  <c r="AF2" i="53"/>
  <c r="Q45" i="59"/>
  <c r="AE52" i="39"/>
  <c r="R54" i="59" s="1"/>
  <c r="AE12" i="39"/>
  <c r="AH3" i="53"/>
  <c r="AE13" i="39"/>
  <c r="C12" i="15"/>
  <c r="C9" i="56"/>
  <c r="L30" i="56" s="1"/>
  <c r="K11" i="15"/>
  <c r="K10" i="15"/>
  <c r="AR21" i="53"/>
  <c r="L28" i="56" l="1"/>
  <c r="L35" i="56"/>
  <c r="F97" i="22"/>
  <c r="E90" i="22"/>
  <c r="E89" i="22"/>
  <c r="F99" i="22"/>
  <c r="E99" i="22"/>
  <c r="AN2" i="53"/>
  <c r="AN3" i="53"/>
  <c r="AQ3" i="53" s="1"/>
  <c r="R73" i="59"/>
  <c r="R48" i="59"/>
  <c r="L31" i="56"/>
  <c r="L38" i="56"/>
  <c r="AE42" i="39"/>
  <c r="Q75" i="59"/>
  <c r="Q76" i="59"/>
  <c r="R45" i="59"/>
  <c r="R44" i="59"/>
  <c r="E63" i="36"/>
  <c r="L58" i="36"/>
  <c r="L52" i="36"/>
  <c r="L56" i="36"/>
  <c r="L53" i="36"/>
  <c r="L57" i="36"/>
  <c r="L54" i="36"/>
  <c r="L55" i="36"/>
  <c r="L51" i="36"/>
  <c r="I18" i="54"/>
  <c r="I12" i="54"/>
  <c r="I13" i="54"/>
  <c r="I22" i="54"/>
  <c r="I15" i="54"/>
  <c r="I16" i="54"/>
  <c r="I17" i="54"/>
  <c r="I26" i="54"/>
  <c r="I19" i="54"/>
  <c r="I20" i="54"/>
  <c r="I21" i="54"/>
  <c r="I14" i="54"/>
  <c r="I23" i="54"/>
  <c r="I24" i="54"/>
  <c r="I25" i="54"/>
  <c r="I11" i="54"/>
  <c r="I10" i="54"/>
  <c r="R76" i="59" l="1"/>
  <c r="R75" i="59"/>
  <c r="G63" i="36"/>
  <c r="I63" i="36" s="1"/>
  <c r="C63" i="36"/>
  <c r="V76" i="59"/>
  <c r="V75" i="59"/>
  <c r="D21" i="56" l="1"/>
  <c r="E23" i="59"/>
  <c r="D11" i="54"/>
  <c r="D12" i="54"/>
  <c r="D13" i="54"/>
  <c r="D14" i="54"/>
  <c r="D15" i="54"/>
  <c r="D16" i="54"/>
  <c r="D17" i="54"/>
  <c r="D18" i="54"/>
  <c r="D19" i="54"/>
  <c r="D20" i="54"/>
  <c r="D21" i="54"/>
  <c r="D22" i="54"/>
  <c r="D23" i="54"/>
  <c r="D24" i="54"/>
  <c r="D25" i="54"/>
  <c r="D26" i="54"/>
  <c r="D27" i="54"/>
  <c r="D28" i="54"/>
  <c r="D10" i="54"/>
  <c r="D40" i="54" l="1"/>
  <c r="F40" i="54"/>
  <c r="E40" i="54" l="1"/>
  <c r="D2" i="53" l="1"/>
  <c r="F2" i="53"/>
  <c r="AR17" i="53"/>
  <c r="AR19" i="53"/>
  <c r="AR20" i="53"/>
  <c r="AB2" i="60" l="1"/>
  <c r="E4" i="37"/>
  <c r="D4" i="37"/>
  <c r="P11" i="65" s="1"/>
  <c r="F11" i="55" s="1"/>
  <c r="F77" i="22" s="1"/>
  <c r="K57" i="36" l="1"/>
  <c r="K58" i="36"/>
  <c r="C4" i="56" l="1"/>
  <c r="L36" i="56" s="1"/>
  <c r="C3" i="56"/>
  <c r="L29" i="56" l="1"/>
  <c r="L39" i="56"/>
  <c r="L34" i="56"/>
  <c r="L32" i="56"/>
  <c r="L33" i="56"/>
  <c r="L44" i="56"/>
  <c r="C7" i="56"/>
  <c r="L37" i="56" s="1"/>
  <c r="K60" i="36"/>
  <c r="K61" i="36"/>
  <c r="K62" i="36"/>
  <c r="K56" i="36" l="1"/>
  <c r="K55" i="36" l="1"/>
  <c r="I9" i="15" l="1"/>
  <c r="G29" i="42"/>
  <c r="F29" i="42"/>
  <c r="E29" i="42"/>
  <c r="D29" i="42"/>
  <c r="G28" i="42"/>
  <c r="E28" i="42"/>
  <c r="D28" i="42"/>
  <c r="G27" i="42"/>
  <c r="F27" i="42"/>
  <c r="E27" i="42"/>
  <c r="D27" i="42"/>
  <c r="G26" i="42"/>
  <c r="F26" i="42"/>
  <c r="E26" i="42"/>
  <c r="D26" i="42"/>
  <c r="G25" i="42"/>
  <c r="F25" i="42"/>
  <c r="E25" i="42"/>
  <c r="D25" i="42"/>
  <c r="G24" i="42"/>
  <c r="F24" i="42"/>
  <c r="E24" i="42"/>
  <c r="D24" i="42"/>
  <c r="G23" i="42"/>
  <c r="F23" i="42"/>
  <c r="E23" i="42"/>
  <c r="D23" i="42"/>
  <c r="G22" i="42"/>
  <c r="F22" i="42"/>
  <c r="E22" i="42"/>
  <c r="D22" i="42"/>
  <c r="G21" i="42"/>
  <c r="F21" i="42"/>
  <c r="E21" i="42"/>
  <c r="D21" i="42"/>
  <c r="G20" i="42"/>
  <c r="F20" i="42"/>
  <c r="E20" i="42"/>
  <c r="D20" i="42"/>
  <c r="G19" i="42"/>
  <c r="F19" i="42"/>
  <c r="E19" i="42"/>
  <c r="D19" i="42"/>
  <c r="G18" i="42"/>
  <c r="F18" i="42"/>
  <c r="E18" i="42"/>
  <c r="D18" i="42"/>
  <c r="G17" i="42"/>
  <c r="F17" i="42"/>
  <c r="E17" i="42"/>
  <c r="D17" i="42"/>
  <c r="G16" i="42"/>
  <c r="F16" i="42"/>
  <c r="E16" i="42"/>
  <c r="D16" i="42"/>
  <c r="G15" i="42"/>
  <c r="F15" i="42"/>
  <c r="E15" i="42"/>
  <c r="D15" i="42"/>
  <c r="G14" i="42"/>
  <c r="F14" i="42"/>
  <c r="E14" i="42"/>
  <c r="D14" i="42"/>
  <c r="G13" i="42"/>
  <c r="F13" i="42"/>
  <c r="E13" i="42"/>
  <c r="D13" i="42"/>
  <c r="G12" i="42"/>
  <c r="F12" i="42"/>
  <c r="E12" i="42"/>
  <c r="D12" i="42"/>
  <c r="G11" i="42"/>
  <c r="F11" i="42"/>
  <c r="E11" i="42"/>
  <c r="D11" i="42"/>
  <c r="O7" i="41"/>
  <c r="O8" i="41"/>
  <c r="O9" i="41"/>
  <c r="O10" i="41"/>
  <c r="O11" i="41"/>
  <c r="O12" i="41"/>
  <c r="O13" i="41"/>
  <c r="O14" i="41"/>
  <c r="O15" i="41"/>
  <c r="O16" i="41"/>
  <c r="D41" i="42" l="1"/>
  <c r="E41" i="42"/>
  <c r="F41" i="42"/>
  <c r="G41" i="42"/>
  <c r="AF13" i="39"/>
  <c r="AO2" i="53"/>
  <c r="AF52" i="39"/>
  <c r="W51" i="39"/>
  <c r="AR18" i="53"/>
  <c r="G10" i="42"/>
  <c r="S45" i="59" l="1"/>
  <c r="AF42" i="39"/>
  <c r="AO2" i="62"/>
  <c r="S44" i="59"/>
  <c r="AO3" i="53"/>
  <c r="J12" i="42"/>
  <c r="AR10" i="53"/>
  <c r="AR16" i="53"/>
  <c r="AR15" i="53"/>
  <c r="AR14" i="53"/>
  <c r="AR13" i="53"/>
  <c r="AR12" i="53"/>
  <c r="J28" i="42"/>
  <c r="J26" i="42"/>
  <c r="J29" i="42"/>
  <c r="J19" i="42"/>
  <c r="J25" i="42"/>
  <c r="J23" i="42"/>
  <c r="J24" i="42"/>
  <c r="AR3" i="53"/>
  <c r="J22" i="42"/>
  <c r="J21" i="42"/>
  <c r="J27" i="42"/>
  <c r="AR6" i="53"/>
  <c r="J18" i="42"/>
  <c r="AR9" i="53"/>
  <c r="J17" i="42"/>
  <c r="AR8" i="53"/>
  <c r="J20" i="42"/>
  <c r="AR11" i="53"/>
  <c r="J13" i="42"/>
  <c r="AR4" i="53"/>
  <c r="J11" i="42"/>
  <c r="AR2" i="53"/>
  <c r="J14" i="42"/>
  <c r="AR5" i="53"/>
  <c r="J16" i="42"/>
  <c r="AR7" i="53"/>
  <c r="J15" i="42"/>
  <c r="S76" i="59" l="1"/>
  <c r="J41" i="42"/>
  <c r="S75" i="59"/>
  <c r="I40" i="54"/>
  <c r="C52" i="36" l="1"/>
  <c r="C53" i="36"/>
  <c r="C54" i="36"/>
  <c r="C51" i="36"/>
  <c r="K54" i="36"/>
  <c r="K53" i="36" l="1"/>
  <c r="G64" i="36" l="1"/>
  <c r="K64" i="36" s="1"/>
  <c r="O51" i="36" s="1"/>
  <c r="K52" i="36"/>
  <c r="F17" i="55" l="1"/>
  <c r="F83" i="22" s="1"/>
  <c r="I64" i="36"/>
  <c r="F13" i="22"/>
  <c r="F12" i="22"/>
  <c r="F10" i="22"/>
  <c r="F8" i="22"/>
  <c r="F7" i="22"/>
  <c r="N14" i="65" l="1"/>
  <c r="M4" i="50"/>
  <c r="AQ2" i="53" s="1"/>
  <c r="I10" i="15"/>
  <c r="I11" i="15"/>
  <c r="I12" i="15"/>
  <c r="AH12" i="39" l="1"/>
  <c r="M28" i="56" s="1"/>
  <c r="F16" i="55"/>
  <c r="F82" i="22" s="1"/>
  <c r="M67" i="56"/>
  <c r="E28" i="56"/>
  <c r="E67" i="56"/>
  <c r="M69" i="56"/>
  <c r="M60" i="56"/>
  <c r="M64" i="56"/>
  <c r="M62" i="56"/>
  <c r="M63" i="56"/>
  <c r="M61" i="56"/>
  <c r="I13" i="15"/>
  <c r="E13" i="15"/>
  <c r="F13" i="15"/>
  <c r="AP2" i="53" l="1"/>
  <c r="T44" i="59"/>
  <c r="J42" i="56"/>
  <c r="E52" i="56"/>
  <c r="J41" i="56"/>
  <c r="J40" i="56"/>
  <c r="J36" i="56"/>
  <c r="J37" i="56"/>
  <c r="J63" i="56"/>
  <c r="J69" i="56"/>
  <c r="J64" i="56"/>
  <c r="J67" i="56"/>
  <c r="J43" i="56"/>
  <c r="E43" i="56"/>
  <c r="K67" i="56"/>
  <c r="J39" i="56"/>
  <c r="E39" i="56"/>
  <c r="J61" i="56"/>
  <c r="E61" i="56"/>
  <c r="J35" i="56"/>
  <c r="E35" i="56"/>
  <c r="J34" i="56"/>
  <c r="E34" i="56"/>
  <c r="J33" i="56"/>
  <c r="E33" i="56"/>
  <c r="J32" i="56"/>
  <c r="E32" i="56"/>
  <c r="J31" i="56"/>
  <c r="E31" i="56"/>
  <c r="J30" i="56"/>
  <c r="E30" i="56"/>
  <c r="J29" i="56"/>
  <c r="E29" i="56"/>
  <c r="J60" i="56"/>
  <c r="E60" i="56"/>
  <c r="J38" i="56"/>
  <c r="E38" i="56"/>
  <c r="J28" i="56"/>
  <c r="J55" i="56"/>
  <c r="J53" i="56"/>
  <c r="J51" i="56"/>
  <c r="J45" i="56"/>
  <c r="J50" i="56"/>
  <c r="J47" i="56"/>
  <c r="J48" i="56"/>
  <c r="J49" i="56"/>
  <c r="J54" i="56"/>
  <c r="J52" i="56"/>
  <c r="J46" i="56"/>
  <c r="J56" i="56"/>
  <c r="J57" i="56"/>
  <c r="J62" i="56"/>
  <c r="J44" i="56"/>
  <c r="K60" i="56"/>
  <c r="K69" i="56"/>
  <c r="K63" i="56"/>
  <c r="K62" i="56"/>
  <c r="K64" i="56"/>
  <c r="K61" i="56"/>
  <c r="K31" i="56"/>
  <c r="K45" i="56"/>
  <c r="K34" i="56"/>
  <c r="K51" i="56"/>
  <c r="K50" i="56"/>
  <c r="K28" i="56"/>
  <c r="K44" i="56"/>
  <c r="K41" i="56"/>
  <c r="K57" i="56"/>
  <c r="K29" i="56"/>
  <c r="K37" i="56"/>
  <c r="K55" i="56"/>
  <c r="K33" i="56"/>
  <c r="K32" i="56"/>
  <c r="K53" i="56"/>
  <c r="K35" i="56"/>
  <c r="K47" i="56"/>
  <c r="K48" i="56"/>
  <c r="K49" i="56"/>
  <c r="K43" i="56"/>
  <c r="K54" i="56"/>
  <c r="K36" i="56"/>
  <c r="K42" i="56"/>
  <c r="K52" i="56"/>
  <c r="K30" i="56"/>
  <c r="K46" i="56"/>
  <c r="K56" i="56"/>
  <c r="G25" i="54"/>
  <c r="K40" i="56"/>
  <c r="K39" i="56"/>
  <c r="K38" i="56"/>
  <c r="AH42" i="39"/>
  <c r="T59" i="59"/>
  <c r="H26" i="42"/>
  <c r="T70" i="59"/>
  <c r="H37" i="42"/>
  <c r="G36" i="54"/>
  <c r="T58" i="59"/>
  <c r="G24" i="54"/>
  <c r="H25" i="42"/>
  <c r="T68" i="59"/>
  <c r="G34" i="54"/>
  <c r="H35" i="42"/>
  <c r="T62" i="59"/>
  <c r="H29" i="42"/>
  <c r="G28" i="54"/>
  <c r="T72" i="59"/>
  <c r="G38" i="54"/>
  <c r="H39" i="42"/>
  <c r="T57" i="59"/>
  <c r="G23" i="54"/>
  <c r="H24" i="42"/>
  <c r="T73" i="59"/>
  <c r="G39" i="54"/>
  <c r="H40" i="42"/>
  <c r="T56" i="59"/>
  <c r="H23" i="42"/>
  <c r="G22" i="54"/>
  <c r="T71" i="59"/>
  <c r="H38" i="42"/>
  <c r="G37" i="54"/>
  <c r="T55" i="59"/>
  <c r="H22" i="42"/>
  <c r="G21" i="54"/>
  <c r="T69" i="59"/>
  <c r="G35" i="54"/>
  <c r="H36" i="42"/>
  <c r="T61" i="59"/>
  <c r="G27" i="54"/>
  <c r="H28" i="42"/>
  <c r="T66" i="59"/>
  <c r="H33" i="42"/>
  <c r="G32" i="54"/>
  <c r="T64" i="59"/>
  <c r="H31" i="42"/>
  <c r="G30" i="54"/>
  <c r="T65" i="59"/>
  <c r="G31" i="54"/>
  <c r="H32" i="42"/>
  <c r="T49" i="59"/>
  <c r="T60" i="59"/>
  <c r="G26" i="54"/>
  <c r="H27" i="42"/>
  <c r="T53" i="59"/>
  <c r="T54" i="59"/>
  <c r="T67" i="59"/>
  <c r="G33" i="54"/>
  <c r="H34" i="42"/>
  <c r="H30" i="42"/>
  <c r="G29" i="54"/>
  <c r="T63" i="59"/>
  <c r="T51" i="59"/>
  <c r="T50" i="59"/>
  <c r="H14" i="42"/>
  <c r="G14" i="54"/>
  <c r="E14" i="15"/>
  <c r="G18" i="54"/>
  <c r="G19" i="54"/>
  <c r="H21" i="42"/>
  <c r="G20" i="54"/>
  <c r="G16" i="54"/>
  <c r="G17" i="54"/>
  <c r="G15" i="54"/>
  <c r="H19" i="42"/>
  <c r="H20" i="42"/>
  <c r="H18" i="42"/>
  <c r="H17" i="42"/>
  <c r="H16" i="42"/>
  <c r="C42" i="56" l="1"/>
  <c r="F38" i="55" s="1"/>
  <c r="C41" i="56"/>
  <c r="F37" i="55" s="1"/>
  <c r="C36" i="56"/>
  <c r="F32" i="55" s="1"/>
  <c r="C40" i="56"/>
  <c r="F36" i="55" s="1"/>
  <c r="C67" i="56"/>
  <c r="C39" i="56"/>
  <c r="F35" i="55" s="1"/>
  <c r="C43" i="56"/>
  <c r="F39" i="55" s="1"/>
  <c r="F60" i="22" s="1"/>
  <c r="C37" i="56"/>
  <c r="F33" i="55" s="1"/>
  <c r="C69" i="56"/>
  <c r="C63" i="56"/>
  <c r="C57" i="56"/>
  <c r="F53" i="55" s="1"/>
  <c r="C54" i="56"/>
  <c r="F50" i="55" s="1"/>
  <c r="C55" i="56"/>
  <c r="F51" i="55" s="1"/>
  <c r="F72" i="22" s="1"/>
  <c r="C56" i="56"/>
  <c r="F52" i="55" s="1"/>
  <c r="F73" i="22" s="1"/>
  <c r="C44" i="56"/>
  <c r="F40" i="55" s="1"/>
  <c r="C64" i="56"/>
  <c r="C52" i="56"/>
  <c r="F48" i="55" s="1"/>
  <c r="C53" i="56"/>
  <c r="F49" i="55" s="1"/>
  <c r="C28" i="56"/>
  <c r="F24" i="55" s="1"/>
  <c r="C38" i="56"/>
  <c r="C31" i="56"/>
  <c r="C35" i="56"/>
  <c r="C46" i="56"/>
  <c r="F42" i="55" s="1"/>
  <c r="C48" i="56"/>
  <c r="F44" i="55" s="1"/>
  <c r="C51" i="56"/>
  <c r="F47" i="55" s="1"/>
  <c r="C60" i="56"/>
  <c r="C32" i="56"/>
  <c r="C47" i="56"/>
  <c r="F43" i="55" s="1"/>
  <c r="C62" i="56"/>
  <c r="C29" i="56"/>
  <c r="C33" i="56"/>
  <c r="C50" i="56"/>
  <c r="F46" i="55" s="1"/>
  <c r="C30" i="56"/>
  <c r="C34" i="56"/>
  <c r="C49" i="56"/>
  <c r="F45" i="55" s="1"/>
  <c r="C45" i="56"/>
  <c r="F41" i="55" s="1"/>
  <c r="C61" i="56"/>
  <c r="T52" i="59"/>
  <c r="G13" i="54"/>
  <c r="H13" i="42"/>
  <c r="G12" i="54"/>
  <c r="T48" i="59"/>
  <c r="H15" i="42"/>
  <c r="T47" i="59"/>
  <c r="T46" i="59"/>
  <c r="H11" i="42"/>
  <c r="H12" i="42"/>
  <c r="T45" i="59"/>
  <c r="G11" i="54"/>
  <c r="G10" i="54"/>
  <c r="F31" i="55" l="1"/>
  <c r="F52" i="22" s="1"/>
  <c r="F34" i="55"/>
  <c r="F55" i="22" s="1"/>
  <c r="F30" i="55"/>
  <c r="F51" i="22" s="1"/>
  <c r="F28" i="55"/>
  <c r="F49" i="22" s="1"/>
  <c r="F65" i="22"/>
  <c r="F66" i="22"/>
  <c r="F57" i="22"/>
  <c r="F69" i="22"/>
  <c r="F26" i="55"/>
  <c r="F47" i="22" s="1"/>
  <c r="F54" i="22"/>
  <c r="F64" i="22"/>
  <c r="F68" i="22"/>
  <c r="F61" i="22"/>
  <c r="F71" i="22"/>
  <c r="F53" i="22"/>
  <c r="F62" i="22"/>
  <c r="F67" i="22"/>
  <c r="F63" i="22"/>
  <c r="F74" i="22"/>
  <c r="F59" i="22"/>
  <c r="F58" i="22"/>
  <c r="F56" i="22"/>
  <c r="F70" i="22"/>
  <c r="F25" i="55"/>
  <c r="F46" i="22" s="1"/>
  <c r="F29" i="55"/>
  <c r="F50" i="22" s="1"/>
  <c r="F27" i="55"/>
  <c r="F48" i="22" s="1"/>
  <c r="F45" i="22"/>
  <c r="H41" i="42"/>
  <c r="G40" i="54"/>
  <c r="T76" i="59"/>
  <c r="T75" i="59"/>
  <c r="D20" i="56" s="1"/>
  <c r="E10" i="42"/>
  <c r="E22" i="59" l="1"/>
  <c r="E24" i="59" s="1"/>
  <c r="W2" i="60" s="1"/>
  <c r="F18" i="55"/>
  <c r="F84" i="22" s="1"/>
  <c r="X2" i="6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Alice Suh</author>
  </authors>
  <commentList>
    <comment ref="F32" authorId="0" shapeId="0" xr:uid="{00000000-0006-0000-0100-000001000000}">
      <text>
        <r>
          <rPr>
            <sz val="9"/>
            <color rgb="FF000000"/>
            <rFont val="Tahoma"/>
            <family val="2"/>
          </rPr>
          <t>Tenant savings may not be underwritten if tenant consumption was modeled rather than based on whole property or sampled data.</t>
        </r>
      </text>
    </comment>
    <comment ref="F35" authorId="0" shapeId="0" xr:uid="{00000000-0006-0000-0100-000002000000}">
      <text>
        <r>
          <rPr>
            <sz val="9"/>
            <color rgb="FF000000"/>
            <rFont val="Tahoma"/>
            <family val="2"/>
          </rPr>
          <t>Tenant savings may not be underwritten if tenant consumption was modeled rather than based on whole property or sampled data.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Alice Suh</author>
  </authors>
  <commentList>
    <comment ref="G9" authorId="0" shapeId="0" xr:uid="{00000000-0006-0000-0600-000002000000}">
      <text>
        <r>
          <rPr>
            <b/>
            <sz val="9"/>
            <color rgb="FF000000"/>
            <rFont val="Tahoma"/>
            <family val="2"/>
          </rPr>
          <t xml:space="preserve">If RUBS/pass-through billing scenario: 
</t>
        </r>
        <r>
          <rPr>
            <sz val="9"/>
            <color rgb="FF000000"/>
            <rFont val="Tahoma"/>
            <family val="2"/>
          </rPr>
          <t>The total owner and tenant costs should reflect the total cost of the utility. Do not include any additional charges from the owner to tenants beyond the cost of the utility.</t>
        </r>
      </text>
    </comment>
    <comment ref="G18" authorId="0" shapeId="0" xr:uid="{00000000-0006-0000-0600-000003000000}">
      <text>
        <r>
          <rPr>
            <sz val="9"/>
            <color indexed="81"/>
            <rFont val="Tahoma"/>
            <family val="2"/>
          </rPr>
          <t>Amount of electricity used by the property from renewable energy system. Do not include energy from purchased Renewable Energy Certificates (RECs).</t>
        </r>
      </text>
    </comment>
    <comment ref="D23" authorId="0" shapeId="0" xr:uid="{00000000-0006-0000-0600-000004000000}">
      <text>
        <r>
          <rPr>
            <b/>
            <sz val="9"/>
            <color indexed="81"/>
            <rFont val="Tahoma"/>
            <family val="2"/>
          </rPr>
          <t>Separately metered:</t>
        </r>
        <r>
          <rPr>
            <sz val="9"/>
            <color indexed="81"/>
            <rFont val="Tahoma"/>
            <family val="2"/>
          </rPr>
          <t xml:space="preserve"> Owner and tenants have separate meters and pay individually to the utility provider
</t>
        </r>
        <r>
          <rPr>
            <b/>
            <sz val="9"/>
            <color indexed="81"/>
            <rFont val="Tahoma"/>
            <family val="2"/>
          </rPr>
          <t xml:space="preserve">Submetered: </t>
        </r>
        <r>
          <rPr>
            <sz val="9"/>
            <color indexed="81"/>
            <rFont val="Tahoma"/>
            <family val="2"/>
          </rPr>
          <t xml:space="preserve">Owner is metered for and pays for all building usage to utility, and uses third-party submeters to bill back tenants according to their actual usage
</t>
        </r>
        <r>
          <rPr>
            <b/>
            <sz val="9"/>
            <color indexed="81"/>
            <rFont val="Tahoma"/>
            <family val="2"/>
          </rPr>
          <t xml:space="preserve">
RUBS: </t>
        </r>
        <r>
          <rPr>
            <sz val="9"/>
            <color indexed="81"/>
            <rFont val="Tahoma"/>
            <family val="2"/>
          </rPr>
          <t xml:space="preserve">Owner is metered for and pays for all building usage to utility, and bills all or a portion back to tenants according to Ratio Utility Billing System and not the tenants' actual usage.
</t>
        </r>
        <r>
          <rPr>
            <b/>
            <sz val="9"/>
            <color indexed="81"/>
            <rFont val="Tahoma"/>
            <family val="2"/>
          </rPr>
          <t xml:space="preserve">Flat fee/other: </t>
        </r>
        <r>
          <rPr>
            <sz val="9"/>
            <color indexed="81"/>
            <rFont val="Tahoma"/>
            <family val="2"/>
          </rPr>
          <t>Owner is metered for and pays for all building usage to utility, and bills all or a portion back to tenants based on a fixed, equally distributed, or other fee not based on the tenants' actual usage.</t>
        </r>
      </text>
    </comment>
    <comment ref="E23" authorId="0" shapeId="0" xr:uid="{00000000-0006-0000-0600-000005000000}">
      <text>
        <r>
          <rPr>
            <b/>
            <sz val="9"/>
            <color indexed="81"/>
            <rFont val="Tahoma"/>
            <family val="2"/>
          </rPr>
          <t xml:space="preserve">Model: </t>
        </r>
        <r>
          <rPr>
            <sz val="9"/>
            <color indexed="81"/>
            <rFont val="Tahoma"/>
            <family val="2"/>
          </rPr>
          <t>Tenant consumption has been simulated without using actual data</t>
        </r>
        <r>
          <rPr>
            <b/>
            <sz val="9"/>
            <color indexed="81"/>
            <rFont val="Tahoma"/>
            <family val="2"/>
          </rPr>
          <t xml:space="preserve">
Representative sample bills: </t>
        </r>
        <r>
          <rPr>
            <sz val="9"/>
            <color indexed="81"/>
            <rFont val="Tahoma"/>
            <family val="2"/>
          </rPr>
          <t>A representative sample of tenant bills was collected and scaled up to reflect total tenant consumption in accordance with Form 4099</t>
        </r>
        <r>
          <rPr>
            <b/>
            <sz val="9"/>
            <color indexed="81"/>
            <rFont val="Tahoma"/>
            <family val="2"/>
          </rPr>
          <t xml:space="preserve">
Whole property aggregate: </t>
        </r>
        <r>
          <rPr>
            <sz val="9"/>
            <color indexed="81"/>
            <rFont val="Tahoma"/>
            <family val="2"/>
          </rPr>
          <t>Actual whole property data was available from the owner or utility provider</t>
        </r>
      </text>
    </comment>
    <comment ref="D29" authorId="0" shapeId="0" xr:uid="{00000000-0006-0000-0600-000006000000}">
      <text>
        <r>
          <rPr>
            <sz val="9"/>
            <color indexed="81"/>
            <rFont val="Tahoma"/>
            <family val="2"/>
          </rPr>
          <t>Select "Mixed" if a significant portion of units at the property is metered differently (e.g. owner-paid central heating in Phase 1 units, tenant-paid individual heating in Phase 2 units).</t>
        </r>
      </text>
    </comment>
    <comment ref="F29" authorId="0" shapeId="0" xr:uid="{00000000-0006-0000-0600-000007000000}">
      <text>
        <r>
          <rPr>
            <sz val="9"/>
            <color indexed="81"/>
            <rFont val="Tahoma"/>
            <family val="2"/>
          </rPr>
          <t>Only enter a secondary fuel if a significant portion of units at the property is served by a fuel different from the primary fuel (e.g. gas heating in Phase 1 units, electric heating in Phase 2 units).</t>
        </r>
      </text>
    </comment>
    <comment ref="C31" authorId="0" shapeId="0" xr:uid="{00000000-0006-0000-0600-000008000000}">
      <text>
        <r>
          <rPr>
            <sz val="9"/>
            <color indexed="81"/>
            <rFont val="Tahoma"/>
            <family val="2"/>
          </rPr>
          <t>Energy used to heat in-unit DHW.</t>
        </r>
      </text>
    </comment>
    <comment ref="F50" authorId="0" shapeId="0" xr:uid="{00000000-0006-0000-0600-000009000000}">
      <text>
        <r>
          <rPr>
            <sz val="9"/>
            <color rgb="FF000000"/>
            <rFont val="Tahoma"/>
            <family val="2"/>
          </rPr>
          <t>EPA Water Score and Water Use Intensity can be found on the Water Scorecard generated in Portfolio Manager.</t>
        </r>
      </text>
    </comment>
    <comment ref="G50" authorId="0" shapeId="0" xr:uid="{00000000-0006-0000-0600-00000A000000}">
      <text>
        <r>
          <rPr>
            <sz val="9"/>
            <color rgb="FF000000"/>
            <rFont val="Tahoma"/>
            <family val="2"/>
          </rPr>
          <t>EPA Water Score and Water Use Intensity can be found on the Water Scorecard generated in Portfolio Manager.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Alice Suh</author>
  </authors>
  <commentList>
    <comment ref="E34" authorId="0" shapeId="0" xr:uid="{00000000-0006-0000-0700-000001000000}">
      <text>
        <r>
          <rPr>
            <sz val="9"/>
            <color rgb="FF000000"/>
            <rFont val="Tahoma"/>
            <family val="2"/>
          </rPr>
          <t>Kitchen faucet usage assumptions may be higher at properties without dishwashers.</t>
        </r>
      </text>
    </comment>
    <comment ref="C42" authorId="0" shapeId="0" xr:uid="{00000000-0006-0000-0700-000002000000}">
      <text>
        <r>
          <rPr>
            <sz val="9"/>
            <color indexed="81"/>
            <rFont val="Tahoma"/>
            <family val="2"/>
          </rPr>
          <t>Some tenants might remove or replace water-efficient fixtures with their own due to preference or dissatisfaction with the new fixtures; energy/water savings calculations in this workbook assume that 75% of fixtures remain in place over time. To encourage tenant adoption, ensure high quality WaterSense fixtures are installed.</t>
        </r>
      </text>
    </comment>
    <comment ref="E64" authorId="0" shapeId="0" xr:uid="{00000000-0006-0000-0700-000003000000}">
      <text>
        <r>
          <rPr>
            <sz val="9"/>
            <color indexed="81"/>
            <rFont val="Tahoma"/>
            <family val="2"/>
          </rPr>
          <t>Reported annual water consumption from Utilities input tab.</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Alice Suh</author>
  </authors>
  <commentList>
    <comment ref="H9" authorId="0" shapeId="0" xr:uid="{00000000-0006-0000-0900-000001000000}">
      <text>
        <r>
          <rPr>
            <sz val="9"/>
            <color indexed="81"/>
            <rFont val="Tahoma"/>
            <family val="2"/>
          </rPr>
          <t>Quantity of each piece of installed equipment (if applicable)</t>
        </r>
      </text>
    </comment>
    <comment ref="I9" authorId="0" shapeId="0" xr:uid="{00000000-0006-0000-0900-000002000000}">
      <text>
        <r>
          <rPr>
            <sz val="9"/>
            <color indexed="81"/>
            <rFont val="Tahoma"/>
            <family val="2"/>
          </rPr>
          <t>Number of apartment units affected by measure (if applicable)</t>
        </r>
      </text>
    </comment>
    <comment ref="N9" authorId="0" shapeId="0" xr:uid="{00000000-0006-0000-0900-000004000000}">
      <text>
        <r>
          <rPr>
            <sz val="9"/>
            <color rgb="FF000000"/>
            <rFont val="Tahoma"/>
            <family val="2"/>
          </rPr>
          <t>Only energy and water cost savings may be included - do not include cost savings from O&amp;M.</t>
        </r>
      </text>
    </comment>
    <comment ref="H49" authorId="0" shapeId="0" xr:uid="{00000000-0006-0000-0900-000005000000}">
      <text>
        <r>
          <rPr>
            <sz val="9"/>
            <color indexed="81"/>
            <rFont val="Tahoma"/>
            <family val="2"/>
          </rPr>
          <t>Quantity of each piece of installed equipment (if applicable)</t>
        </r>
      </text>
    </comment>
    <comment ref="I49" authorId="0" shapeId="0" xr:uid="{00000000-0006-0000-0900-000006000000}">
      <text>
        <r>
          <rPr>
            <sz val="9"/>
            <color rgb="FF000000"/>
            <rFont val="Tahoma"/>
            <family val="2"/>
          </rPr>
          <t>Number of apartment units affected by measure (if applicable)</t>
        </r>
      </text>
    </comment>
  </commentList>
</comments>
</file>

<file path=xl/sharedStrings.xml><?xml version="1.0" encoding="utf-8"?>
<sst xmlns="http://schemas.openxmlformats.org/spreadsheetml/2006/main" count="1830" uniqueCount="1049">
  <si>
    <t>4099H</t>
  </si>
  <si>
    <t>Fannie Mae Multifamily Form 4099.H</t>
  </si>
  <si>
    <t>Form 4099.H – 
Analysis Tool for a High Performance Building Report</t>
  </si>
  <si>
    <t>CONTENTS</t>
  </si>
  <si>
    <t>Lender Validation</t>
  </si>
  <si>
    <r>
      <t xml:space="preserve">Lender Validation tab:  </t>
    </r>
    <r>
      <rPr>
        <sz val="9"/>
        <color theme="1"/>
        <rFont val="Source Sans Pro"/>
        <family val="2"/>
      </rPr>
      <t xml:space="preserve">The Lender identifies an HPB Report Rating, notes the selected Energy and Water Efficiency Measures (EWEM), and verifies the Savings Underwriting. </t>
    </r>
  </si>
  <si>
    <t>Check Errors</t>
  </si>
  <si>
    <r>
      <t>QC tab:</t>
    </r>
    <r>
      <rPr>
        <sz val="9"/>
        <color theme="1"/>
        <rFont val="Source Sans Pro"/>
        <family val="2"/>
      </rPr>
      <t xml:space="preserve">  After the rest of the workbook has been completed, the Lender and HPB Consultant use this tab to review and address error alerts.</t>
    </r>
  </si>
  <si>
    <t>Input-Property</t>
  </si>
  <si>
    <r>
      <t xml:space="preserve">INPUT tabs: </t>
    </r>
    <r>
      <rPr>
        <sz val="9"/>
        <color theme="1"/>
        <rFont val="Source Sans Pro"/>
        <family val="2"/>
      </rPr>
      <t xml:space="preserve">The HPB Consultant is responsible for entering complete and accurate project information in these tabs. The Water Calculator must be used for calculating and showing water efficiency measure savings. </t>
    </r>
  </si>
  <si>
    <t>Input-Utilities</t>
  </si>
  <si>
    <t>Input-Water Calc</t>
  </si>
  <si>
    <t>Input-EWEMs</t>
  </si>
  <si>
    <t>Input-Solar</t>
  </si>
  <si>
    <t>Input-Electrification</t>
  </si>
  <si>
    <t>Report-Utilities</t>
  </si>
  <si>
    <r>
      <t>REPORT tabs:</t>
    </r>
    <r>
      <rPr>
        <sz val="9"/>
        <color theme="1"/>
        <rFont val="Source Sans Pro"/>
        <family val="2"/>
      </rPr>
      <t xml:space="preserve"> These tables will be automatically populated with data from the Input tabs. The HPB Consultant must paste the resulting tables into the HPB Report.</t>
    </r>
  </si>
  <si>
    <t>Report-EWEM Cost Savings</t>
  </si>
  <si>
    <t>Report-EWEM Cons Savings</t>
  </si>
  <si>
    <t>Report-Electrification</t>
  </si>
  <si>
    <t>Reference-Measure List</t>
  </si>
  <si>
    <r>
      <t xml:space="preserve">REFERENCE tab:  </t>
    </r>
    <r>
      <rPr>
        <sz val="9"/>
        <color theme="1"/>
        <rFont val="Source Sans Pro"/>
        <family val="2"/>
      </rPr>
      <t>List of categories and names for Energy and Water Efficiency Measures.</t>
    </r>
  </si>
  <si>
    <t>HOW TO USE THIS FILE</t>
  </si>
  <si>
    <t>HPB Consultant:</t>
  </si>
  <si>
    <t>1)</t>
  </si>
  <si>
    <r>
      <t xml:space="preserve">Enter required project information in the </t>
    </r>
    <r>
      <rPr>
        <b/>
        <sz val="10"/>
        <color theme="1"/>
        <rFont val="Source Sans Pro"/>
        <family val="2"/>
      </rPr>
      <t>Input tabs</t>
    </r>
    <r>
      <rPr>
        <sz val="10"/>
        <color theme="1"/>
        <rFont val="Source Sans Pro"/>
        <family val="2"/>
      </rPr>
      <t xml:space="preserve">. Use the Water Historical Consumption and Projected Savings Calculator in </t>
    </r>
    <r>
      <rPr>
        <b/>
        <sz val="10"/>
        <color theme="1"/>
        <rFont val="Source Sans Pro"/>
        <family val="2"/>
      </rPr>
      <t>Input-Water Calc</t>
    </r>
    <r>
      <rPr>
        <sz val="10"/>
        <color theme="1"/>
        <rFont val="Source Sans Pro"/>
        <family val="2"/>
      </rPr>
      <t xml:space="preserve"> to calculate flow/flush fixture and appliance savings, and show other water efficiency measure savings. </t>
    </r>
  </si>
  <si>
    <t>2)</t>
  </si>
  <si>
    <r>
      <t xml:space="preserve">In the </t>
    </r>
    <r>
      <rPr>
        <b/>
        <sz val="10"/>
        <color theme="1"/>
        <rFont val="Source Sans Pro"/>
        <family val="2"/>
      </rPr>
      <t>Check Errors</t>
    </r>
    <r>
      <rPr>
        <sz val="10"/>
        <color theme="1"/>
        <rFont val="Source Sans Pro"/>
        <family val="2"/>
      </rPr>
      <t xml:space="preserve"> tab, review any QC alerts and address all issues in the space provided. </t>
    </r>
  </si>
  <si>
    <t>3)</t>
  </si>
  <si>
    <r>
      <t>Review each table in the</t>
    </r>
    <r>
      <rPr>
        <b/>
        <sz val="10"/>
        <color theme="1"/>
        <rFont val="Source Sans Pro"/>
        <family val="2"/>
      </rPr>
      <t xml:space="preserve"> Report tabs </t>
    </r>
    <r>
      <rPr>
        <sz val="10"/>
        <color theme="1"/>
        <rFont val="Source Sans Pro"/>
        <family val="2"/>
      </rPr>
      <t>and adjust formatting as needed. Copy and paste tables from Report tabs into the HPB Report according to instructions in Form 4099.</t>
    </r>
  </si>
  <si>
    <t>Lender:</t>
  </si>
  <si>
    <r>
      <t xml:space="preserve">Review all </t>
    </r>
    <r>
      <rPr>
        <b/>
        <sz val="10"/>
        <color theme="1"/>
        <rFont val="Source Sans Pro"/>
        <family val="2"/>
      </rPr>
      <t>Input tabs</t>
    </r>
    <r>
      <rPr>
        <sz val="10"/>
        <color theme="1"/>
        <rFont val="Source Sans Pro"/>
        <family val="2"/>
      </rPr>
      <t xml:space="preserve"> for completeness. Any yellow fields indicate required information that must be filled out.</t>
    </r>
  </si>
  <si>
    <r>
      <t xml:space="preserve">In the </t>
    </r>
    <r>
      <rPr>
        <b/>
        <sz val="10"/>
        <color theme="1"/>
        <rFont val="Source Sans Pro"/>
        <family val="2"/>
      </rPr>
      <t>Check Errors</t>
    </r>
    <r>
      <rPr>
        <sz val="10"/>
        <color theme="1"/>
        <rFont val="Source Sans Pro"/>
        <family val="2"/>
      </rPr>
      <t xml:space="preserve"> tab, review any QC alerts and responses from the HPB Consultant.</t>
    </r>
  </si>
  <si>
    <r>
      <t xml:space="preserve">Complete the </t>
    </r>
    <r>
      <rPr>
        <b/>
        <sz val="10"/>
        <color theme="1"/>
        <rFont val="Source Sans Pro"/>
        <family val="2"/>
      </rPr>
      <t>Lender Validation tab</t>
    </r>
    <r>
      <rPr>
        <sz val="10"/>
        <color theme="1"/>
        <rFont val="Source Sans Pro"/>
        <family val="2"/>
      </rPr>
      <t>. Indicate the Energy and Water Efficiency Measures selected for implementation, verify program eligibility, and score the report quality.</t>
    </r>
  </si>
  <si>
    <t>4)</t>
  </si>
  <si>
    <t>If the report or 4099.H requires corrections, work with the HPB Consultant to resolve issues.</t>
  </si>
  <si>
    <t>Energy and Water Efficiency Measure (EWEM) Selection and Report Validation by Lender</t>
  </si>
  <si>
    <t xml:space="preserve">Instructions to Lender: </t>
  </si>
  <si>
    <t xml:space="preserve">1)  Review entire workbook to ensure that there are no yellow cells (the yellow cells indicate a required value that has not been provided), and HPB Consultant has satisfactorily responded to any QC alerts in Check Errors tab. </t>
  </si>
  <si>
    <t xml:space="preserve">2)  Indicate all Energy and Water Efficiency Measures selected for implementation by the Borrower. Verify that the selected Energy and Water Efficiency Measures result in at least 15% site energy savings AND the sum of energy and water savings equals at least 30%. </t>
  </si>
  <si>
    <t>3)  Score the HPB Report Quality: 1 - No further corrections; 2 - Minor corrections; 3 - Substantial issues. Enter your name and date of approval.</t>
  </si>
  <si>
    <t>4)  If HPB Report has scored 2 or 3 (requires corrections), return this workbook to the HPB Consultant until all issues are resolved.</t>
  </si>
  <si>
    <t>HPB Report Rating</t>
  </si>
  <si>
    <t>Submitted to (Lender)</t>
  </si>
  <si>
    <t>Is the HPB Consultant  pre-qualified as of the final report review date?</t>
  </si>
  <si>
    <t>View the list of pre-qualified HPB Consultants at https://multifamily.fanniemae.com/financing-options/specialty-financing/green-financing/hpb-energy-audit-report.</t>
  </si>
  <si>
    <t>Report Quality Score</t>
  </si>
  <si>
    <t>Reviewer Name</t>
  </si>
  <si>
    <t>Date Approved</t>
  </si>
  <si>
    <t>Summary of Energy and Water Efficiency Measures Selected for Implementation</t>
  </si>
  <si>
    <t>Site Energy Savings</t>
  </si>
  <si>
    <t>Water Savings</t>
  </si>
  <si>
    <t>Sum of Energy and Water Savings</t>
  </si>
  <si>
    <t>Total Installed Cost</t>
  </si>
  <si>
    <t>Required Escrow</t>
  </si>
  <si>
    <t>Allowable Underwritten Cost Savings</t>
  </si>
  <si>
    <t>Owner</t>
  </si>
  <si>
    <t>Tenant</t>
  </si>
  <si>
    <t>Projected Energy Cost Savings</t>
  </si>
  <si>
    <t>% that may be underwritten</t>
  </si>
  <si>
    <t>Allowable UW Energy Cost Savings</t>
  </si>
  <si>
    <t>Projected Water Cost Savings</t>
  </si>
  <si>
    <t>Allowable UW Water Cost Savings</t>
  </si>
  <si>
    <t>Subtotal</t>
  </si>
  <si>
    <t>Total</t>
  </si>
  <si>
    <t>Actual Underwritten Cost Savings</t>
  </si>
  <si>
    <t>Energy and Water Efficiency Measures Selected for Implementation</t>
  </si>
  <si>
    <t xml:space="preserve">Selected for Implementation </t>
  </si>
  <si>
    <t>EWEM No.</t>
  </si>
  <si>
    <t>Description of Energy and Water Efficiency Measure</t>
  </si>
  <si>
    <t>Qty.</t>
  </si>
  <si>
    <t>Number of Apts.</t>
  </si>
  <si>
    <t>Installed Cost</t>
  </si>
  <si>
    <t>Owner Annual Cost Savings</t>
  </si>
  <si>
    <t>Tenant Annual Cost Savings</t>
  </si>
  <si>
    <t>Total Site Energy Savings</t>
  </si>
  <si>
    <t>Total Source Energy Savings</t>
  </si>
  <si>
    <t>Total Water Savings</t>
  </si>
  <si>
    <t>GHG Savings</t>
  </si>
  <si>
    <t>Escrow Amount</t>
  </si>
  <si>
    <t>Completion Time Frame</t>
  </si>
  <si>
    <t>Energy</t>
  </si>
  <si>
    <t>Water</t>
  </si>
  <si>
    <t>kbtu</t>
  </si>
  <si>
    <t>kgal</t>
  </si>
  <si>
    <t>Error Checking</t>
  </si>
  <si>
    <r>
      <t xml:space="preserve">Instructions: </t>
    </r>
    <r>
      <rPr>
        <i/>
        <sz val="10"/>
        <color theme="1"/>
        <rFont val="Source Sans Pro"/>
        <family val="2"/>
      </rPr>
      <t xml:space="preserve"> Check all required (yellow) fields throughout workbook have been completed. HPB Consultant must respond to any QC Alerts in column G.</t>
    </r>
  </si>
  <si>
    <t>General QC</t>
  </si>
  <si>
    <t>Category</t>
  </si>
  <si>
    <t>QC Item</t>
  </si>
  <si>
    <t>QC Alert</t>
  </si>
  <si>
    <t>HPB Consultant Response</t>
  </si>
  <si>
    <t>Property</t>
  </si>
  <si>
    <t>Unit breakdown and occupancy</t>
  </si>
  <si>
    <t>Utilities</t>
  </si>
  <si>
    <t>Historical electricity cost and consumption</t>
  </si>
  <si>
    <t>Historical fuel cost and consumption</t>
  </si>
  <si>
    <t>Historical water and sewer cost and consumption</t>
  </si>
  <si>
    <t>Tenant utility cost</t>
  </si>
  <si>
    <t>Tenant utility data and in-unit utilities</t>
  </si>
  <si>
    <t>Seasonal energy consumption breakdown</t>
  </si>
  <si>
    <t>Energy Star report</t>
  </si>
  <si>
    <t>Water Calculator</t>
  </si>
  <si>
    <t>Property water consumption model</t>
  </si>
  <si>
    <t>EWEMs</t>
  </si>
  <si>
    <t>Total owner and tenant EWEM costs and savings</t>
  </si>
  <si>
    <t>Electrification</t>
  </si>
  <si>
    <t>Electrification potential assessment</t>
  </si>
  <si>
    <t>EWEM QC</t>
  </si>
  <si>
    <t>EWEM Description</t>
  </si>
  <si>
    <t>UTILITIES</t>
  </si>
  <si>
    <t>Table</t>
  </si>
  <si>
    <t>Row</t>
  </si>
  <si>
    <t>QC</t>
  </si>
  <si>
    <t>low</t>
  </si>
  <si>
    <t>high</t>
  </si>
  <si>
    <t>Historical Utility Consumption</t>
  </si>
  <si>
    <t>Electricity</t>
  </si>
  <si>
    <t>Utility rate ($/kWh)</t>
  </si>
  <si>
    <t>Natural Gas</t>
  </si>
  <si>
    <t>Utility rate ($/btu)</t>
  </si>
  <si>
    <t>Fuel Oil #2</t>
  </si>
  <si>
    <t>Fuel Oil #4</t>
  </si>
  <si>
    <t>Fuel Oil #6</t>
  </si>
  <si>
    <t>Propane</t>
  </si>
  <si>
    <t>District Steam</t>
  </si>
  <si>
    <t>Water &amp; Sewer</t>
  </si>
  <si>
    <t>Utility rate ($/gal)</t>
  </si>
  <si>
    <t>Historical Utility Cost</t>
  </si>
  <si>
    <t>Totals: Tenant Cost</t>
  </si>
  <si>
    <t>Total Tenant Monthly Utility Cost ($/unit)</t>
  </si>
  <si>
    <t>EWEM: Minimum costs</t>
  </si>
  <si>
    <t>EWEM Category</t>
  </si>
  <si>
    <t>EWEM Name</t>
  </si>
  <si>
    <t>Minimum cost per qty</t>
  </si>
  <si>
    <t>Minimum cost per unit applied</t>
  </si>
  <si>
    <t>Water and sewer conservation</t>
  </si>
  <si>
    <t>Install WaterSense low-flow showerheads</t>
  </si>
  <si>
    <t>Lighting</t>
  </si>
  <si>
    <t>Upgrade in-unit lighting</t>
  </si>
  <si>
    <t>Install WaterSense low-flush toilets</t>
  </si>
  <si>
    <t>Install low-flow kitchen faucets/aerators</t>
  </si>
  <si>
    <t>Install WaterSense low-flow bath faucets/aerators</t>
  </si>
  <si>
    <t>Appliances and plug load reductions</t>
  </si>
  <si>
    <t>Replace refrigerators with ENERGY STAR certified</t>
  </si>
  <si>
    <t>Replace dishwashers with ENERGY STAR certified</t>
  </si>
  <si>
    <t>Replace washing machines with ENERGY STAR certified</t>
  </si>
  <si>
    <t>Heating ventilating and air conditioning</t>
  </si>
  <si>
    <t>Install smart thermostats</t>
  </si>
  <si>
    <t>Domestic hot water heating</t>
  </si>
  <si>
    <t>Replace or upgrade individual water heater</t>
  </si>
  <si>
    <t>Replace or upgrade central water heater</t>
  </si>
  <si>
    <t>WATER MODULE</t>
  </si>
  <si>
    <t>Flow/Flush Fixture Assumptions</t>
  </si>
  <si>
    <t>Toilets</t>
  </si>
  <si>
    <t>Proposed gpf</t>
  </si>
  <si>
    <t>Bathroom Faucets</t>
  </si>
  <si>
    <t>Proposed gpm</t>
  </si>
  <si>
    <t>Kitchen Faucets</t>
  </si>
  <si>
    <t>Showerheads</t>
  </si>
  <si>
    <t>Existing gpf</t>
  </si>
  <si>
    <t>Existing gpm</t>
  </si>
  <si>
    <t>Laundry Assumptions</t>
  </si>
  <si>
    <t>In-Unit Washers</t>
  </si>
  <si>
    <t>gal/load</t>
  </si>
  <si>
    <t>Commercial Washers</t>
  </si>
  <si>
    <t>Dishwasher Assumptions</t>
  </si>
  <si>
    <t>Dishwashers</t>
  </si>
  <si>
    <t>gal/cycle</t>
  </si>
  <si>
    <t>annual loads/occupant</t>
  </si>
  <si>
    <t>Water Calc tab EWEM QC Alerts</t>
  </si>
  <si>
    <t>Input-WaterCalc Alert</t>
  </si>
  <si>
    <t>Install low-flow fixtures</t>
  </si>
  <si>
    <t>Overall EWEM QC Alerts</t>
  </si>
  <si>
    <t>Total EWEM</t>
  </si>
  <si>
    <t>QC note</t>
  </si>
  <si>
    <t>Alert</t>
  </si>
  <si>
    <t>Owner energy cost savings</t>
  </si>
  <si>
    <t>Cannot be greater than historical spend</t>
  </si>
  <si>
    <t>Owner water cost savings</t>
  </si>
  <si>
    <t>Tenant energy cost savings</t>
  </si>
  <si>
    <t>Tenant water cost savings</t>
  </si>
  <si>
    <t>DHW energy savings</t>
  </si>
  <si>
    <t>Cannot be greater than historical consumption</t>
  </si>
  <si>
    <t>Lighting energy savings</t>
  </si>
  <si>
    <t>Total energy consumption savings</t>
  </si>
  <si>
    <t>Total water consumption savings</t>
  </si>
  <si>
    <t>Total cost of selected EWEMs</t>
  </si>
  <si>
    <t>Should be at least $200/unit</t>
  </si>
  <si>
    <t>Individual EWEM QC Alerts</t>
  </si>
  <si>
    <t>alert type--&gt;</t>
  </si>
  <si>
    <t>Cost savings</t>
  </si>
  <si>
    <t>Energy/water savings</t>
  </si>
  <si>
    <t>Material and Labor cost breakout</t>
  </si>
  <si>
    <t>Nonstandard EWEM type/category</t>
  </si>
  <si>
    <t>Water savings for water EWEM</t>
  </si>
  <si>
    <t>Water savings for energy EWEM</t>
  </si>
  <si>
    <t>Low flush-toilets with energy savings</t>
  </si>
  <si>
    <t>Energy savings for DHW measures</t>
  </si>
  <si>
    <t>Water Calc - fixture assumptions</t>
  </si>
  <si>
    <t>Dishwashers and washing machines</t>
  </si>
  <si>
    <t>Common area lighting</t>
  </si>
  <si>
    <t>In-unit lighting</t>
  </si>
  <si>
    <t>Adjusted EWEM cost</t>
  </si>
  <si>
    <t>Minimum installed cost for certain EWEMs</t>
  </si>
  <si>
    <t>alert text --&gt;</t>
  </si>
  <si>
    <t xml:space="preserve">EWEM has no cost savings. </t>
  </si>
  <si>
    <t xml:space="preserve">EWEM has no energy or water savings. </t>
  </si>
  <si>
    <t xml:space="preserve">Labor AND/OR material cost not included in installation cost. </t>
  </si>
  <si>
    <t xml:space="preserve">Selected EWEM Type does not match EWEM Category. OR Nonstandard EWEM type was entered - select best match from provided dropdown list. </t>
  </si>
  <si>
    <t xml:space="preserve">No water savings for EWEM Category: Water and Sewer Conservation. </t>
  </si>
  <si>
    <t xml:space="preserve">Water savings were entered for energy-saving measure - confirm water savings are expected. </t>
  </si>
  <si>
    <t xml:space="preserve">Energy savings have been provided when only water savings are expected. </t>
  </si>
  <si>
    <t xml:space="preserve">Energy savings from reducing DHW consumption have not been included. </t>
  </si>
  <si>
    <t xml:space="preserve">Some or all fixture assumptions are out of range - see Water Calculator. </t>
  </si>
  <si>
    <t xml:space="preserve">Savings do not include both energy and water. </t>
  </si>
  <si>
    <t xml:space="preserve">Owner cost savings are not included for common area lighting upgrade. </t>
  </si>
  <si>
    <t xml:space="preserve">Tenant cost savings are not included for tenant-paid apartment lighting upgrade. </t>
  </si>
  <si>
    <t xml:space="preserve">Common area measure does not match location served. </t>
  </si>
  <si>
    <t xml:space="preserve">In-unit measure does not match location served. </t>
  </si>
  <si>
    <t xml:space="preserve">Cost of adjusted recommendation is greater than cost of originally recommended measure - confirm adjusted cost is correct. </t>
  </si>
  <si>
    <t xml:space="preserve">Cost is not within expected range. </t>
  </si>
  <si>
    <t>EWEM #</t>
  </si>
  <si>
    <t>ADJUSTED EWEM #</t>
  </si>
  <si>
    <t>INPUT: Property Information</t>
  </si>
  <si>
    <r>
      <t xml:space="preserve">Instructions:  </t>
    </r>
    <r>
      <rPr>
        <i/>
        <sz val="10"/>
        <color theme="1"/>
        <rFont val="Source Sans Pro"/>
        <family val="2"/>
      </rPr>
      <t>Enter project details and basic property information. Yellow fields indicate required information. White fields are optional.</t>
    </r>
  </si>
  <si>
    <t>PROJECT INFORMATION</t>
  </si>
  <si>
    <t>Property Name</t>
  </si>
  <si>
    <t>HPB Consultant Company</t>
  </si>
  <si>
    <t>Date Data Received from Owner</t>
  </si>
  <si>
    <t>Site Visit Date</t>
  </si>
  <si>
    <t>Initial Submission Date</t>
  </si>
  <si>
    <t>Revision 1 Date</t>
  </si>
  <si>
    <t>Revision 2 Date</t>
  </si>
  <si>
    <t>Revision 3 Date</t>
  </si>
  <si>
    <t>Revision 4 Date</t>
  </si>
  <si>
    <t>SITE DETAILS</t>
  </si>
  <si>
    <t>Address</t>
  </si>
  <si>
    <t>City</t>
  </si>
  <si>
    <t>State</t>
  </si>
  <si>
    <t>Zip Code</t>
  </si>
  <si>
    <t>Year Built</t>
  </si>
  <si>
    <t>Year of Last Substantial Rehab or Conversion to Multifamily</t>
  </si>
  <si>
    <t>Number of Buildings</t>
  </si>
  <si>
    <t>Gross Square Footage</t>
  </si>
  <si>
    <t>Rentable Square Footage</t>
  </si>
  <si>
    <t>UNIT BREAKDOWN &amp; OCCUPANCY</t>
  </si>
  <si>
    <t>Studio</t>
  </si>
  <si>
    <t>1-Bedroom</t>
  </si>
  <si>
    <t>2-Bedroom</t>
  </si>
  <si>
    <t>3-Bedroom</t>
  </si>
  <si>
    <t>Full Baths</t>
  </si>
  <si>
    <t>4-Bedroom</t>
  </si>
  <si>
    <t>Half Baths</t>
  </si>
  <si>
    <t>Total Number of Units</t>
  </si>
  <si>
    <t>Total Baths</t>
  </si>
  <si>
    <t>Total Number of Bedrooms</t>
  </si>
  <si>
    <t>Average Occupancy Rate (%)</t>
  </si>
  <si>
    <t>ALERTS</t>
  </si>
  <si>
    <t>Default</t>
  </si>
  <si>
    <t>Custom</t>
  </si>
  <si>
    <t>Total Number of Occupants</t>
  </si>
  <si>
    <t>If default values are not used, explain basis for assumptions:</t>
  </si>
  <si>
    <t>Number of Units Sampled in Site Visit</t>
  </si>
  <si>
    <t>INPUT: Historical Utilities Information</t>
  </si>
  <si>
    <r>
      <rPr>
        <b/>
        <i/>
        <sz val="10"/>
        <color theme="1"/>
        <rFont val="Source Sans Pro"/>
        <family val="2"/>
      </rPr>
      <t>Instructions:</t>
    </r>
    <r>
      <rPr>
        <i/>
        <sz val="10"/>
        <color theme="1"/>
        <rFont val="Source Sans Pro"/>
        <family val="2"/>
      </rPr>
      <t xml:space="preserve">  Enter metering, payer, and historical cost and consumption data for the whole property. Yellow fields indicate required information. Enter information in white fields when applicable. If your project uses a utility type not listed or more than can be shown in the table, contact Fannie Mae for instructions to customize this form. </t>
    </r>
  </si>
  <si>
    <t>HISTORICAL UTILITIES COST AND CONSUMPTION</t>
  </si>
  <si>
    <t>Utility Type</t>
  </si>
  <si>
    <t>Owner-Paid Annual Utilities</t>
  </si>
  <si>
    <t>Tenant-Paid Annual Utilities</t>
  </si>
  <si>
    <t>Whole Property Annual Consumption</t>
  </si>
  <si>
    <t>Cost</t>
  </si>
  <si>
    <t>Consumption</t>
  </si>
  <si>
    <t>(units)</t>
  </si>
  <si>
    <t>Emissions (lb CO2e)</t>
  </si>
  <si>
    <t>Source Energy (kBTU)</t>
  </si>
  <si>
    <t>Site Energy (kBTU)</t>
  </si>
  <si>
    <t>kWh</t>
  </si>
  <si>
    <t>Water and Sewer</t>
  </si>
  <si>
    <t>n/a</t>
  </si>
  <si>
    <t>Total Site Energy (kBTU):</t>
  </si>
  <si>
    <t>Total Water (kgal):</t>
  </si>
  <si>
    <t>Total Emissions (lb CO2e):</t>
  </si>
  <si>
    <t>Existing Onsite Electricity Generation (if applicable)</t>
  </si>
  <si>
    <t>Generation Method</t>
  </si>
  <si>
    <t>Meter Served</t>
  </si>
  <si>
    <t>System Size</t>
  </si>
  <si>
    <t>Electricity Used Onsite</t>
  </si>
  <si>
    <t>Total Electricity Generated</t>
  </si>
  <si>
    <t>kW</t>
  </si>
  <si>
    <t>TENANT DATA COLLECTION AND IN-UNIT UTILITIES</t>
  </si>
  <si>
    <t>Tenant Billing Method</t>
  </si>
  <si>
    <t>Tenant Data Source</t>
  </si>
  <si>
    <t>Number of Tenant Accounts Sampled</t>
  </si>
  <si>
    <t>Name of Utility Provider(s)</t>
  </si>
  <si>
    <t>In-Unit Utilities</t>
  </si>
  <si>
    <t>Fuel Paid By</t>
  </si>
  <si>
    <t>Primary Fuel</t>
  </si>
  <si>
    <t>Secondary Fuel</t>
  </si>
  <si>
    <t>In-Unit Heating</t>
  </si>
  <si>
    <t>In-Unit Water Heating</t>
  </si>
  <si>
    <t>In-Unit Electricity</t>
  </si>
  <si>
    <t>In-Unit Cooling</t>
  </si>
  <si>
    <t/>
  </si>
  <si>
    <t>UTILITY END USE BREAKDOWN</t>
  </si>
  <si>
    <t xml:space="preserve">Disaggregate the seasonal energy or water consumption from the nonseasonal baseload consumption. Enter results of modeling software used, or calculate the baseload from monthly bills by taking the average of the months during which seasonal consumption is not expected, and multiply the consumption across 12 months. </t>
  </si>
  <si>
    <t>List any atypical end uses a significant portion of the utility is dedicated to. Usual electricity and water baseloads (i.e. electric plug loads, residential water usage) are assumed and do not need to be listed.</t>
  </si>
  <si>
    <t>Seasonal Consumption</t>
  </si>
  <si>
    <t>Baseload and Other Consumption</t>
  </si>
  <si>
    <t>Heating</t>
  </si>
  <si>
    <t>Cooling</t>
  </si>
  <si>
    <t>Irrigation</t>
  </si>
  <si>
    <t>Domestic Hot Water</t>
  </si>
  <si>
    <t>Other</t>
  </si>
  <si>
    <t>Units</t>
  </si>
  <si>
    <t>List any atypical end uses at the property:</t>
  </si>
  <si>
    <t>Percent of Total</t>
  </si>
  <si>
    <t>ENERGY STAR REPORT</t>
  </si>
  <si>
    <t>Portfolio Manager
Property ID</t>
  </si>
  <si>
    <t>ENERGY STAR Score</t>
  </si>
  <si>
    <t>Source EUI (kBTU/sf)</t>
  </si>
  <si>
    <t>EPA Water Score</t>
  </si>
  <si>
    <t>Water Use Intensity (gal/sf)</t>
  </si>
  <si>
    <t>For Year Ending Date</t>
  </si>
  <si>
    <t>INPUT: Water Historical Consumption and Projected Savings Calculator</t>
  </si>
  <si>
    <r>
      <rPr>
        <b/>
        <i/>
        <sz val="10"/>
        <color theme="1"/>
        <rFont val="Source Sans Pro"/>
        <family val="2"/>
      </rPr>
      <t xml:space="preserve">Instructions: </t>
    </r>
    <r>
      <rPr>
        <i/>
        <sz val="10"/>
        <color theme="1"/>
        <rFont val="Source Sans Pro"/>
        <family val="2"/>
      </rPr>
      <t>Water consumption and savings for water efficiency measures must be calculated using this calculator.
All yellow fields must be completed (enter "0" or "n/a" as necessary).</t>
    </r>
  </si>
  <si>
    <t>ASSUMPTIONS</t>
  </si>
  <si>
    <t>Equipment Replacement</t>
  </si>
  <si>
    <t>Existing water consumption must be calculated using actual flow rates measured on site.</t>
  </si>
  <si>
    <t>Fixture/Appliance</t>
  </si>
  <si>
    <t>% of Occupants Affected</t>
  </si>
  <si>
    <t>Existing Water Use Rate</t>
  </si>
  <si>
    <t>Proposed Water Use Rate</t>
  </si>
  <si>
    <t>Kitchen Faucet</t>
  </si>
  <si>
    <t>Replace</t>
  </si>
  <si>
    <t>Leave in place</t>
  </si>
  <si>
    <t>gpm</t>
  </si>
  <si>
    <t>Bathroom Faucet</t>
  </si>
  <si>
    <t>Showerhead</t>
  </si>
  <si>
    <t>Toilet</t>
  </si>
  <si>
    <t>gpf</t>
  </si>
  <si>
    <t>In-Unit Washer</t>
  </si>
  <si>
    <t>Common Washer</t>
  </si>
  <si>
    <t>Dishwasher</t>
  </si>
  <si>
    <t>Occupant Usage</t>
  </si>
  <si>
    <t>If prescribed assumptions are not used, consultant must provide detailed explanation based on on-site observations or submetered consumption. (Balancing occupant consumption to total property water consumption without accounting for leaks and other unidentified water consumption is not adequate basis for increasing occupant usage assumptions.)</t>
  </si>
  <si>
    <t>Daily Usage per Occupant</t>
  </si>
  <si>
    <t>min</t>
  </si>
  <si>
    <t>uses</t>
  </si>
  <si>
    <t>loads</t>
  </si>
  <si>
    <t>cycles</t>
  </si>
  <si>
    <t>Adoption rate for removable low-flow fixtures</t>
  </si>
  <si>
    <t>ANNUAL WATER CONSUMPTION &amp; SAVINGS</t>
  </si>
  <si>
    <t>Enter additional water uses in optional rows to show other changes in end use consumption (e.g. cooling towers, boiler makeup water).</t>
  </si>
  <si>
    <t>Existing</t>
  </si>
  <si>
    <t>Proposed</t>
  </si>
  <si>
    <t>Savings</t>
  </si>
  <si>
    <t>% Change 
in End Use</t>
  </si>
  <si>
    <t>% Change 
of Total</t>
  </si>
  <si>
    <t>Water Use</t>
  </si>
  <si>
    <t>gal/year</t>
  </si>
  <si>
    <t>Laundry - In-Unit</t>
  </si>
  <si>
    <t>Laundry - Common Area</t>
  </si>
  <si>
    <t>WHOLE PROPERTY</t>
  </si>
  <si>
    <t>Describe water uses listed as "Other":</t>
  </si>
  <si>
    <t>INPUT: Recommended Energy and Water Efficiency Measures</t>
  </si>
  <si>
    <t>RECOMMENDED ENERGY AND WATER EFFICIENCY MEASURES</t>
  </si>
  <si>
    <r>
      <rPr>
        <b/>
        <i/>
        <sz val="10"/>
        <color theme="1"/>
        <rFont val="Source Sans Pro"/>
        <family val="2"/>
      </rPr>
      <t xml:space="preserve">Instructions: </t>
    </r>
    <r>
      <rPr>
        <i/>
        <sz val="10"/>
        <color theme="1"/>
        <rFont val="Source Sans Pro"/>
        <family val="2"/>
      </rPr>
      <t xml:space="preserve"> Enter all energy and water efficiency measures recommended at the property. Yellow fields indicate required information.</t>
    </r>
  </si>
  <si>
    <t>hide →</t>
  </si>
  <si>
    <t>← hide</t>
  </si>
  <si>
    <t>Costs and Savings</t>
  </si>
  <si>
    <t>Whole Property Energy and Water Savings</t>
  </si>
  <si>
    <t>Energy and Water Efficiency Measure Category</t>
  </si>
  <si>
    <t>Type of Energy and Water Efficiency Measure</t>
  </si>
  <si>
    <t>Description of the Energy and Water Efficiency Measure</t>
  </si>
  <si>
    <t>Location Served</t>
  </si>
  <si>
    <t>Qty</t>
  </si>
  <si>
    <t>Number of Apts</t>
  </si>
  <si>
    <t>% of Apts</t>
  </si>
  <si>
    <t>Annual Owner Cost Savings</t>
  </si>
  <si>
    <t>Annual Tenant Cost Savings</t>
  </si>
  <si>
    <t>Annual Electricity Savings</t>
  </si>
  <si>
    <t>Annual Water Savings</t>
  </si>
  <si>
    <t>Site kbtu savings</t>
  </si>
  <si>
    <t>Source kbtu savings</t>
  </si>
  <si>
    <t>Water savings</t>
  </si>
  <si>
    <t>GHG savings</t>
  </si>
  <si>
    <t>EUL</t>
  </si>
  <si>
    <t>Material</t>
  </si>
  <si>
    <t>Labor</t>
  </si>
  <si>
    <t>total</t>
  </si>
  <si>
    <t>$</t>
  </si>
  <si>
    <t>lb CO2e</t>
  </si>
  <si>
    <t>%</t>
  </si>
  <si>
    <t>years</t>
  </si>
  <si>
    <t>TOTAL</t>
  </si>
  <si>
    <t>ADJUSTMENTS TO RECOMMENDED EWEM (OPTIONAL)</t>
  </si>
  <si>
    <r>
      <rPr>
        <b/>
        <i/>
        <sz val="10"/>
        <color theme="1"/>
        <rFont val="Source Sans Pro"/>
        <family val="2"/>
      </rPr>
      <t xml:space="preserve">Instructions: </t>
    </r>
    <r>
      <rPr>
        <i/>
        <sz val="10"/>
        <color theme="1"/>
        <rFont val="Source Sans Pro"/>
        <family val="2"/>
      </rPr>
      <t xml:space="preserve"> Complete this section </t>
    </r>
    <r>
      <rPr>
        <i/>
        <u/>
        <sz val="10"/>
        <color theme="1"/>
        <rFont val="Source Sans Pro"/>
        <family val="2"/>
      </rPr>
      <t>only if</t>
    </r>
    <r>
      <rPr>
        <i/>
        <sz val="10"/>
        <color theme="1"/>
        <rFont val="Source Sans Pro"/>
        <family val="2"/>
      </rPr>
      <t xml:space="preserve"> requested by the Lender/Owner. Complete only for the Energy and Water Efficiency Measures that must be adjusted by first selecting the EWEM number.</t>
    </r>
  </si>
  <si>
    <t>Select EWEM No.</t>
  </si>
  <si>
    <t>INPUT: Solar PV Potential Assessment</t>
  </si>
  <si>
    <r>
      <rPr>
        <b/>
        <i/>
        <sz val="10"/>
        <color theme="1"/>
        <rFont val="Source Sans Pro"/>
        <family val="2"/>
      </rPr>
      <t>Instructions:</t>
    </r>
    <r>
      <rPr>
        <i/>
        <sz val="10"/>
        <color theme="1"/>
        <rFont val="Source Sans Pro"/>
        <family val="2"/>
      </rPr>
      <t xml:space="preserve">  Solar PV potential must be calculated using this spreadsheet and the PV Watts calculator (https://pvwatts.nrel.gov). Additional assessment tools and resources may also be used to supplement PV Watts.
All yellow fields must be completed (enter "0" or "n/a" as necessary).</t>
    </r>
  </si>
  <si>
    <t>SOLAR PV POTENTIAL</t>
  </si>
  <si>
    <r>
      <t xml:space="preserve">If solar PV installation has </t>
    </r>
    <r>
      <rPr>
        <b/>
        <u/>
        <sz val="9"/>
        <rFont val="Source Sans Pro"/>
        <family val="2"/>
      </rPr>
      <t>not</t>
    </r>
    <r>
      <rPr>
        <b/>
        <sz val="9"/>
        <rFont val="Source Sans Pro"/>
        <family val="2"/>
      </rPr>
      <t xml:space="preserve"> been recommended as an Energy and Water Efficiency Measure, provide the primary reason(s):</t>
    </r>
  </si>
  <si>
    <t xml:space="preserve">Other:  </t>
  </si>
  <si>
    <t>Median age of roof</t>
  </si>
  <si>
    <t>Type of roof</t>
  </si>
  <si>
    <t>Has the property obtained a technical solar PV assessment from a solar specialist?</t>
  </si>
  <si>
    <t>If yes, please use the recommendations from the Solar PV Assessment in your EWEM recommendation, and include the Solar PV Assessment as Exhibit F to the HPB Report. If not, use PV Watts to estimate the anticipated annual system production.</t>
  </si>
  <si>
    <t>PROPOSED SOLAR PV SYSTEM CHARACTERISTICS</t>
  </si>
  <si>
    <t>Location</t>
  </si>
  <si>
    <t>Anticipated System Size</t>
  </si>
  <si>
    <t>Anticipated Average Annual Production</t>
  </si>
  <si>
    <t>kWh/year</t>
  </si>
  <si>
    <t>AVAILABLE INCENTIVES</t>
  </si>
  <si>
    <t>Is the property located in a jurisdiction that offers Solar Renewable Energy Credits (SRECs)?</t>
  </si>
  <si>
    <t>Is the property located in a jurisdiction that allows net metering?</t>
  </si>
  <si>
    <t>INPUT: Electrification Potential Assessment</t>
  </si>
  <si>
    <r>
      <rPr>
        <b/>
        <i/>
        <sz val="10"/>
        <color theme="1"/>
        <rFont val="Source Sans Pro"/>
        <family val="2"/>
      </rPr>
      <t>Instructions:</t>
    </r>
    <r>
      <rPr>
        <i/>
        <sz val="10"/>
        <color theme="1"/>
        <rFont val="Source Sans Pro"/>
        <family val="2"/>
      </rPr>
      <t xml:space="preserve">  Based on the HPB site assessment, document the necessary steps and barriers to electrification for the property.</t>
    </r>
  </si>
  <si>
    <t>MODELED IMPACTS</t>
  </si>
  <si>
    <r>
      <t xml:space="preserve">Reducing the negative environmental impact from building energy use requires both the building and the electricity grid to be free of fossil fuels. The U.S. electricity grid has seen a 15% annual compound growth rate in wind and solar generation between 2015-2020¹, on its way towards a national goal of a 100% clean grid by 2035². While improving building efficiency through EWEMs are an important step to reducing carbon emissions, net-zero emissions cannot be achieved as long as fossil fuels are still any part of building operation.
The chart below compares estimated carbon emissions of the property's as-is energy use and equivalent all-electric energy use with all recommended EWEM upgrades, according to national clean grid scenarios targeted in the next 15 years. The "fully electric" property includes an assumed efficiency gain for replacing on-site fuel combustion (80% efficient) with electricity (100%), however, efficiencies as high as 300% can be achieved with heat pump technology.
Note: The "fully electric property" may show more carbon emissions than the "existing property" in the current electricity grid scenario because the national electricity grid currently relies largely on fossil fuels. The chart assumes the same energy consumption as the existing property and national average grid emissions; it does not take into account the higher efficiencies achievable with electric equipment or the wide range of carbon intensities among regional electricity grids. This short-term rise in emissions may be accurate for properties with local grids heavily reliant on fossil fuels (such as coal) but will be less relevant as the grid gets cleaner and can be mitigated with highly efficient electric equipment and renewable power sources (such as on-site solar).
¹ Jaeger, J. World Resources Institute. (2021). </t>
    </r>
    <r>
      <rPr>
        <i/>
        <sz val="9"/>
        <rFont val="Source Sans Pro"/>
        <family val="2"/>
      </rPr>
      <t xml:space="preserve">Explaining the exponential growth of renewable energy. </t>
    </r>
    <r>
      <rPr>
        <sz val="9"/>
        <rFont val="Source Sans Pro"/>
        <family val="2"/>
      </rPr>
      <t xml:space="preserve">https://www.wri.org/insights/growth-renewable-energy-sector-explained
² U.S. Department of Energy. (2021). </t>
    </r>
    <r>
      <rPr>
        <i/>
        <sz val="9"/>
        <rFont val="Source Sans Pro"/>
        <family val="2"/>
      </rPr>
      <t>Reimagining and rebuilding America's energy grid.</t>
    </r>
    <r>
      <rPr>
        <sz val="9"/>
        <rFont val="Source Sans Pro"/>
        <family val="2"/>
      </rPr>
      <t xml:space="preserve"> https://www.energy.gov/articles/reimagining-and-rebuilding-americas-energy-grid</t>
    </r>
  </si>
  <si>
    <t>Note: Numbers in this document should be considered illustrative examples only. Modeled carbon emissions are based on national average emissions factors; actual emissions will vary according to state and local grid conditions.</t>
  </si>
  <si>
    <t>BUILDING EQUIPMENT ELECTRIFICATION UPGRADES</t>
  </si>
  <si>
    <t>Indicate electrification upgrades that are applicable to the property and provide details in the comments:</t>
  </si>
  <si>
    <t>Other:</t>
  </si>
  <si>
    <t xml:space="preserve">Comments to support assessment: </t>
  </si>
  <si>
    <t>BARRIERS TO ELECTRIFICATION</t>
  </si>
  <si>
    <r>
      <t xml:space="preserve">If electrification upgrades have </t>
    </r>
    <r>
      <rPr>
        <b/>
        <u/>
        <sz val="9"/>
        <rFont val="Source Sans Pro"/>
        <family val="2"/>
      </rPr>
      <t>not</t>
    </r>
    <r>
      <rPr>
        <b/>
        <sz val="9"/>
        <rFont val="Source Sans Pro"/>
        <family val="2"/>
      </rPr>
      <t xml:space="preserve"> been recommended as Energy and Water Efficiency Measures, provide the primary reason(s) and describe details in the comments:</t>
    </r>
  </si>
  <si>
    <t>LoanID</t>
  </si>
  <si>
    <t>LoanID2</t>
  </si>
  <si>
    <t>PropertyName</t>
  </si>
  <si>
    <t>Notes</t>
  </si>
  <si>
    <t>AcquisitionDate</t>
  </si>
  <si>
    <t>HPBVendor</t>
  </si>
  <si>
    <t>SubcontractedBy</t>
  </si>
  <si>
    <t>Lender</t>
  </si>
  <si>
    <t>OtherLender</t>
  </si>
  <si>
    <t>NumberOfUnitsSampled</t>
  </si>
  <si>
    <t>OwnerDataReceiptDate</t>
  </si>
  <si>
    <t>SiteVisitDate</t>
  </si>
  <si>
    <t>InitialSubmissionDate</t>
  </si>
  <si>
    <t>FinalSubmissionDate</t>
  </si>
  <si>
    <t>ApprovalDate</t>
  </si>
  <si>
    <t>ReportQualityScore</t>
  </si>
  <si>
    <t>ReviewerName</t>
  </si>
  <si>
    <t>AllowableUWEnergyCostSavings</t>
  </si>
  <si>
    <t>AllowableUWWaterCostSavings</t>
  </si>
  <si>
    <t>AllowableUWTotalCostSavings</t>
  </si>
  <si>
    <t>ActualUWCostSavings</t>
  </si>
  <si>
    <t>Version</t>
  </si>
  <si>
    <t>Eligible</t>
  </si>
  <si>
    <t>Complete</t>
  </si>
  <si>
    <t>AllowableUWOwnerCostSavings</t>
  </si>
  <si>
    <t>AllowableUWTenantCostSavings</t>
  </si>
  <si>
    <t>RequiredEscrow</t>
  </si>
  <si>
    <t>SolarEWEMSelected</t>
  </si>
  <si>
    <t>ZipCode</t>
  </si>
  <si>
    <t>YearBuilt</t>
  </si>
  <si>
    <t>YearOfLastSubstantialRehab</t>
  </si>
  <si>
    <t>GrossSqFt</t>
  </si>
  <si>
    <t>RentableSqFt</t>
  </si>
  <si>
    <t>NumberOfBuildings</t>
  </si>
  <si>
    <t>NumberOfApartmentUnits</t>
  </si>
  <si>
    <t>NumberOfBedroomsPM</t>
  </si>
  <si>
    <t>OccupancyRate</t>
  </si>
  <si>
    <t>NumberOfOccupants</t>
  </si>
  <si>
    <t>PMPropertyID</t>
  </si>
  <si>
    <t>PMScoreEndDate</t>
  </si>
  <si>
    <t>EnergyStarScore</t>
  </si>
  <si>
    <t>PMSourceEUI</t>
  </si>
  <si>
    <t>EPAWaterScore</t>
  </si>
  <si>
    <t>PMWaterUI</t>
  </si>
  <si>
    <t>NumberOfBedrooms</t>
  </si>
  <si>
    <t>UtilityType</t>
  </si>
  <si>
    <t>OwnerAnnualCost</t>
  </si>
  <si>
    <t>TenantAnnualCost</t>
  </si>
  <si>
    <t>TotalAnnualCost</t>
  </si>
  <si>
    <t>OwnerPaidEnergyConsumption_SiteKBTU</t>
  </si>
  <si>
    <t>OwnerPaidEnergyConsumption_SourceKBTU</t>
  </si>
  <si>
    <t>OwnerPaidWaterConsumption_kGal</t>
  </si>
  <si>
    <t>TenantPaidEnergyConsumption_SiteKBTU</t>
  </si>
  <si>
    <t>TenantPaidEnergyConsumption_SourceKBTU</t>
  </si>
  <si>
    <t>TenantPaidWaterConsumption_kGal</t>
  </si>
  <si>
    <t>TotalAnnualEnergyConsumption_SiteKBTU</t>
  </si>
  <si>
    <t>TotalAnnualEnergyConsumption_SourceKBTU</t>
  </si>
  <si>
    <t>TotalAnnualWaterConsumption_kGal</t>
  </si>
  <si>
    <t>TenantBillingMethod</t>
  </si>
  <si>
    <t>TenantConsumptionDataSource</t>
  </si>
  <si>
    <t>NumberOfTenantAccountsSampled</t>
  </si>
  <si>
    <t>UtilityProvider</t>
  </si>
  <si>
    <t>Heating_SiteKBTU</t>
  </si>
  <si>
    <t>Cooling_SiteKBTU</t>
  </si>
  <si>
    <t>Irrigation_kGal</t>
  </si>
  <si>
    <t>DomesticHotWater_SiteKBTU</t>
  </si>
  <si>
    <t>Lighting_SiteKBTU</t>
  </si>
  <si>
    <t>OtherBaseload_SiteKBTU</t>
  </si>
  <si>
    <t>Baseload_kGal</t>
  </si>
  <si>
    <t>Baseload_SiteKBTU</t>
  </si>
  <si>
    <t>EndUseCooling</t>
  </si>
  <si>
    <t>EndUseHeating</t>
  </si>
  <si>
    <t>EndUseDHW</t>
  </si>
  <si>
    <t>EndUseIrrigation</t>
  </si>
  <si>
    <t>EndUseLaundry</t>
  </si>
  <si>
    <t>EndUseDishwashers</t>
  </si>
  <si>
    <t>EndUseOther</t>
  </si>
  <si>
    <t>InUnitUtility</t>
  </si>
  <si>
    <t>PaidBy</t>
  </si>
  <si>
    <t>PrimaryFuel</t>
  </si>
  <si>
    <t>SecondaryFuel</t>
  </si>
  <si>
    <t>WaterUse</t>
  </si>
  <si>
    <t>QuantityReplaced</t>
  </si>
  <si>
    <t>QuantityLeft</t>
  </si>
  <si>
    <t>OccupantsReplaced</t>
  </si>
  <si>
    <t>OccupantsLeft</t>
  </si>
  <si>
    <t>ExistingUseRateReplaced</t>
  </si>
  <si>
    <t>ExistingUseRateLeft</t>
  </si>
  <si>
    <t>ProposedUseRateReplaced</t>
  </si>
  <si>
    <t>UseRateUnit</t>
  </si>
  <si>
    <t>DailyOccupantUsage</t>
  </si>
  <si>
    <t>DailyOccupantUsageUnit</t>
  </si>
  <si>
    <t>AdoptionRate</t>
  </si>
  <si>
    <t>ExistingAnnualUsage_kGal</t>
  </si>
  <si>
    <t>ProposedAnnualUsage_kGal</t>
  </si>
  <si>
    <t>AnnualSavings_kGal</t>
  </si>
  <si>
    <t>Bath Faucet</t>
  </si>
  <si>
    <t>Laundry In Unit</t>
  </si>
  <si>
    <t>Laundry Common Area</t>
  </si>
  <si>
    <t>EWEMSelected</t>
  </si>
  <si>
    <t>EWEMNumber</t>
  </si>
  <si>
    <t>EWEMCategory</t>
  </si>
  <si>
    <t>EWEMName</t>
  </si>
  <si>
    <t>EWEMDescription</t>
  </si>
  <si>
    <t>LocationServed</t>
  </si>
  <si>
    <t>Quantity</t>
  </si>
  <si>
    <t>NumberOfUnits</t>
  </si>
  <si>
    <t>PercentOfUnits</t>
  </si>
  <si>
    <t>InstalledCost</t>
  </si>
  <si>
    <t>WholePropertyAnnualCostSavings</t>
  </si>
  <si>
    <t>OwnerEnergyCostSavings</t>
  </si>
  <si>
    <t>OwnerWaterCostSavings</t>
  </si>
  <si>
    <t>OwnerAnnualCostSavings</t>
  </si>
  <si>
    <t>TenantEnergyCostSavings</t>
  </si>
  <si>
    <t>TenantWaterCostSavings</t>
  </si>
  <si>
    <t>TenantAnnualCostSavings</t>
  </si>
  <si>
    <t>ElectricitySavings_SiteKBTU</t>
  </si>
  <si>
    <t>NaturalGasSavings_SiteKBTU</t>
  </si>
  <si>
    <t>FuelOil2Savings_SiteKBTU</t>
  </si>
  <si>
    <t>FuelOil4Savings_SiteKBTU</t>
  </si>
  <si>
    <t>FuelOil6Savings_SiteKBTU</t>
  </si>
  <si>
    <t>DistrictSteamSavings_SiteKBTU</t>
  </si>
  <si>
    <t>PropaneSavings_SiteKBTU</t>
  </si>
  <si>
    <t>DistrictHotWaterSavings_SiteKBTU</t>
  </si>
  <si>
    <t>DistrictChilledWaterSavings_SiteKBTU</t>
  </si>
  <si>
    <t>OtherEnergySavings_SiteKBTU</t>
  </si>
  <si>
    <t>ElectricitySavings_SourceKBTU</t>
  </si>
  <si>
    <t>NaturalGasSavings_SourceKBTU</t>
  </si>
  <si>
    <t>FuelOil2Savings_SourceKBTU</t>
  </si>
  <si>
    <t>FuelOil4Savings_SourceKBTU</t>
  </si>
  <si>
    <t>FuelOil6Savings_SourceKBTU</t>
  </si>
  <si>
    <t>DistrictSteamSavings_SourceKBTU</t>
  </si>
  <si>
    <t>PropaneSavings_SourceKBTU</t>
  </si>
  <si>
    <t>DistrictHotWaterSavings_SourceKBTU</t>
  </si>
  <si>
    <t>DistrictChilledWaterSavings_SourceKBTU</t>
  </si>
  <si>
    <t>OtherEnergySavings_SourceKBTU</t>
  </si>
  <si>
    <t>SiteEnergySavings_kBTU</t>
  </si>
  <si>
    <t>SourceEnergySavings_kBTU</t>
  </si>
  <si>
    <t>WaterSavings_kgal</t>
  </si>
  <si>
    <t>SiteEnergyPercentSavings</t>
  </si>
  <si>
    <t>SourceEnergyPercentSavings</t>
  </si>
  <si>
    <t>WaterPercentSavings</t>
  </si>
  <si>
    <t>TotalEULSavings</t>
  </si>
  <si>
    <t>GHGSavings_lbCO2e</t>
  </si>
  <si>
    <t>MaterialCost</t>
  </si>
  <si>
    <t>LaborCost</t>
  </si>
  <si>
    <t>ExistingGenerationType</t>
  </si>
  <si>
    <t>MeterServedByExistingGeneration</t>
  </si>
  <si>
    <t>ExistingSystemSize_kW</t>
  </si>
  <si>
    <t>GeneratedElectricityUsedOnsite_kBtu</t>
  </si>
  <si>
    <t>TotalElectricityGenerated_kBtu</t>
  </si>
  <si>
    <t>NotRecommended_RooftopAmenities</t>
  </si>
  <si>
    <t>NotRecommended_RooftopMechanicals</t>
  </si>
  <si>
    <t>NotRecommended_Shading</t>
  </si>
  <si>
    <t>NotRecommended_AgeOfRoof</t>
  </si>
  <si>
    <t>NotRecommended_ZoningOrPermitting</t>
  </si>
  <si>
    <t>NotRecommended_Other</t>
  </si>
  <si>
    <t>SolarAssessmentPerformed</t>
  </si>
  <si>
    <t>RecommendedArrayLocation</t>
  </si>
  <si>
    <t>RecommendedSystemSize_kW</t>
  </si>
  <si>
    <t>ExpectedAverageAnnualProduction_kBtu</t>
  </si>
  <si>
    <t>MedianAgeOfRoof_yrs</t>
  </si>
  <si>
    <t>TypeOfRoof</t>
  </si>
  <si>
    <t>SRECsAvailable</t>
  </si>
  <si>
    <t>NetMeteringAvailable</t>
  </si>
  <si>
    <t>ElectricService_UpgradeApplicable</t>
  </si>
  <si>
    <t>Appliances_UpgradeApplicable</t>
  </si>
  <si>
    <t>SpaceHeating_UpgradeApplicable</t>
  </si>
  <si>
    <t>DHWHeating_UpgradeApplicable</t>
  </si>
  <si>
    <t>HigherEfficiencyElectric_UpgradeApplicable</t>
  </si>
  <si>
    <t>EVCharging_UpgradeApplicable</t>
  </si>
  <si>
    <t>Other_UpgradeApplicable</t>
  </si>
  <si>
    <t>Comments_UpgradeApplicable</t>
  </si>
  <si>
    <t>UpfrontCost_Barrier</t>
  </si>
  <si>
    <t>ElectricityCost_Barrier</t>
  </si>
  <si>
    <t>HeatPumpSpaceConstraint_Barrier</t>
  </si>
  <si>
    <t>NoSuitableTechnologyDHW_Barrier</t>
  </si>
  <si>
    <t>NoSuitableTechnologyHeatingOther_Barrier</t>
  </si>
  <si>
    <t>AlreadyElectric_Barrier</t>
  </si>
  <si>
    <t>Other_Barrier</t>
  </si>
  <si>
    <t>Comments_Barrier</t>
  </si>
  <si>
    <t>REPORT TABLE: Historical Energy and Water Consumption and Costs</t>
  </si>
  <si>
    <r>
      <rPr>
        <b/>
        <i/>
        <sz val="10"/>
        <color theme="1"/>
        <rFont val="Source Sans Pro"/>
        <family val="2"/>
      </rPr>
      <t xml:space="preserve">Instructions: </t>
    </r>
    <r>
      <rPr>
        <i/>
        <sz val="10"/>
        <color theme="1"/>
        <rFont val="Source Sans Pro"/>
        <family val="2"/>
      </rPr>
      <t>This table will populate from the preceding input tabs. Hide inapplicable rows (as indicated in column K) and adjust row heights as needed before copying table into report.</t>
    </r>
  </si>
  <si>
    <t>Historical Energy and Water Consumption and Costs</t>
  </si>
  <si>
    <t>Annual Cost</t>
  </si>
  <si>
    <t>Annual Consumption</t>
  </si>
  <si>
    <t>Energy / Water Uses</t>
  </si>
  <si>
    <t>Utility Payer</t>
  </si>
  <si>
    <t>Owner-Paid</t>
  </si>
  <si>
    <t>Tenant-Paid</t>
  </si>
  <si>
    <t>Whole Property</t>
  </si>
  <si>
    <t>Total Costs for Owner/Tenant</t>
  </si>
  <si>
    <t>Property Site Energy Consumption</t>
  </si>
  <si>
    <t>kBTU</t>
  </si>
  <si>
    <t>Total Cost for Property</t>
  </si>
  <si>
    <t>Property Water Consumption</t>
  </si>
  <si>
    <t>kGal</t>
  </si>
  <si>
    <t xml:space="preserve"> </t>
  </si>
  <si>
    <t>REPORT TABLE: EWEM Projected Cost Savings</t>
  </si>
  <si>
    <r>
      <rPr>
        <b/>
        <i/>
        <sz val="10"/>
        <color theme="1"/>
        <rFont val="Source Sans Pro"/>
        <family val="2"/>
      </rPr>
      <t xml:space="preserve">Instructions: </t>
    </r>
    <r>
      <rPr>
        <i/>
        <sz val="10"/>
        <color theme="1"/>
        <rFont val="Source Sans Pro"/>
        <family val="2"/>
      </rPr>
      <t>This table will populate with the Recommended Energy and Water Efficiency Measures from the preceding input tabs. Hide inapplicable rows (as indicated in column I) and adjust row heights as needed before copying table into report.</t>
    </r>
  </si>
  <si>
    <t>Projected Installed Costs &amp; Annual Cost Savings of Recommended EWEM</t>
  </si>
  <si>
    <t>Description of the Selected Energy and Water Efficiency Measure</t>
  </si>
  <si>
    <t>REPORT TABLE: EWEM Projected Consumption Savings</t>
  </si>
  <si>
    <r>
      <rPr>
        <b/>
        <i/>
        <sz val="10"/>
        <color theme="1"/>
        <rFont val="Source Sans Pro"/>
        <family val="2"/>
      </rPr>
      <t xml:space="preserve">Instructions: </t>
    </r>
    <r>
      <rPr>
        <i/>
        <sz val="10"/>
        <color theme="1"/>
        <rFont val="Source Sans Pro"/>
        <family val="2"/>
      </rPr>
      <t>This table will populate with the Recommended Energy and Water Efficiency Measures from the preceding input tabs. Hide inapplicable rows and columns (as indicated in row 42 and column J) and adjust row heights as needed before copying table into report.</t>
    </r>
  </si>
  <si>
    <t>Projected Annual Consumption Savings of Recommended EWEM</t>
  </si>
  <si>
    <t>Whole Property Consumption Savings</t>
  </si>
  <si>
    <t>REPORT SECTION: Electrification and Decarbonization Potential</t>
  </si>
  <si>
    <r>
      <rPr>
        <b/>
        <i/>
        <sz val="10"/>
        <color theme="1"/>
        <rFont val="Source Sans Pro"/>
        <family val="2"/>
      </rPr>
      <t xml:space="preserve">Instructions: </t>
    </r>
    <r>
      <rPr>
        <i/>
        <sz val="10"/>
        <color theme="1"/>
        <rFont val="Source Sans Pro"/>
        <family val="2"/>
      </rPr>
      <t>This section will populate with modeled carbon emissions, applicable electrifcation upgrades, and barriers to electrification from the preceding input tabs. Hide inapplicable rows (as indicated in column E) and adjust row heights as needed before copying section into report.</t>
    </r>
  </si>
  <si>
    <t>Modeled Impacts</t>
  </si>
  <si>
    <t>Potential Electrification Opportunities and Barriers</t>
  </si>
  <si>
    <t>#</t>
  </si>
  <si>
    <t>Potential Building Equipment Upgrades Towards Electrification</t>
  </si>
  <si>
    <t>Applicable?</t>
  </si>
  <si>
    <t>Upgrade electric service, breakers, wiring, and plugs required for conversion to all electric</t>
  </si>
  <si>
    <t>Upgrade cooking, laundry, and/or other appliances to electric</t>
  </si>
  <si>
    <t>Upgrade space heating equipment to electric</t>
  </si>
  <si>
    <t>Upgrade DHW heating equipment to electric</t>
  </si>
  <si>
    <t>Upgrade existing electric equipment to higher efficiency technology (electric resistance to heat pump, induction, etc.)</t>
  </si>
  <si>
    <t>Install electric vehicle (EV) charging stations</t>
  </si>
  <si>
    <t>Supporting comments:</t>
  </si>
  <si>
    <t>Potential Barriers to Electrification</t>
  </si>
  <si>
    <t>Upfront cost of equipment and installation</t>
  </si>
  <si>
    <t>Cost of electricity</t>
  </si>
  <si>
    <t>Space constraints for heat pump equipment</t>
  </si>
  <si>
    <t>Domestic Hot Water: No suitable technology is available for this specific building application</t>
  </si>
  <si>
    <t>Space Heating/Other: No suitable technology is available for this specific building application</t>
  </si>
  <si>
    <t>Property is already fully electric</t>
  </si>
  <si>
    <t>Energy Conversion Factors</t>
  </si>
  <si>
    <t>Pounds per KG</t>
  </si>
  <si>
    <t>Utility Unit</t>
  </si>
  <si>
    <t>Site BTU factor (BTU/unit of fuel)</t>
  </si>
  <si>
    <t>Source-Site Ratio</t>
  </si>
  <si>
    <t>Source BTU factor (BTU/unit of fuel)</t>
  </si>
  <si>
    <t>Source-Site Reference</t>
  </si>
  <si>
    <t>CO2eq Emissions (lb/unit of fuel)</t>
  </si>
  <si>
    <t>CO2 Reference</t>
  </si>
  <si>
    <t>CO2eq Emissions (kg/MBtu)</t>
  </si>
  <si>
    <t>1, 2</t>
  </si>
  <si>
    <t>National average used for electricity GHG indirect emissions</t>
  </si>
  <si>
    <t>therms gas</t>
  </si>
  <si>
    <t>CCF gas</t>
  </si>
  <si>
    <t>Gal #2 oil</t>
  </si>
  <si>
    <t>Gal #4 oil</t>
  </si>
  <si>
    <t>Gal #6 oil</t>
  </si>
  <si>
    <t>Gal propane</t>
  </si>
  <si>
    <t>CCF propane</t>
  </si>
  <si>
    <t>Mlbs (1000 lbs)</t>
  </si>
  <si>
    <t>Mlbs = 1,000 lbs steam as per utility conventions, not 1,000,000 lbs steam.</t>
  </si>
  <si>
    <t>District Hot Water</t>
  </si>
  <si>
    <t>therms hot water</t>
  </si>
  <si>
    <t>1,2</t>
  </si>
  <si>
    <t>District Chilled Water</t>
  </si>
  <si>
    <t>ton hours</t>
  </si>
  <si>
    <t>CO2eq emissions for Electric-Driven Chiller used.</t>
  </si>
  <si>
    <t>Row to be updated manually for one-off requests.</t>
  </si>
  <si>
    <t>Gallons Factor</t>
  </si>
  <si>
    <t>Gal</t>
  </si>
  <si>
    <t>CF</t>
  </si>
  <si>
    <t>CCF</t>
  </si>
  <si>
    <t>References</t>
  </si>
  <si>
    <r>
      <rPr>
        <b/>
        <sz val="11"/>
        <rFont val="Calibri"/>
        <family val="2"/>
        <scheme val="minor"/>
      </rPr>
      <t>Portfolio Manager Technical Reference: Thermal Energy Conversions, August 2015</t>
    </r>
    <r>
      <rPr>
        <sz val="11"/>
        <rFont val="Calibri"/>
        <family val="2"/>
        <scheme val="minor"/>
      </rPr>
      <t xml:space="preserve"> (https://portfoliomanager.energystar.gov/pdf/reference/Thermal%20Conversions.pdf)</t>
    </r>
  </si>
  <si>
    <r>
      <rPr>
        <b/>
        <sz val="11"/>
        <rFont val="Calibri"/>
        <family val="2"/>
        <scheme val="minor"/>
      </rPr>
      <t>Portfolio Manager Technical Reference: Source Energy, October 2020</t>
    </r>
    <r>
      <rPr>
        <sz val="11"/>
        <rFont val="Calibri"/>
        <family val="2"/>
        <scheme val="minor"/>
      </rPr>
      <t xml:space="preserve"> (https://portfoliomanager.energystar.gov/pdf/reference/Source%20Energy.pdf)</t>
    </r>
  </si>
  <si>
    <r>
      <rPr>
        <b/>
        <sz val="11"/>
        <color rgb="FF000000"/>
        <rFont val="Calibri"/>
        <family val="2"/>
        <scheme val="minor"/>
      </rPr>
      <t>Portfolio Manager Technical Reference: Greenhouse Gas Emissions, December 2022</t>
    </r>
    <r>
      <rPr>
        <sz val="11"/>
        <color rgb="FF000000"/>
        <rFont val="Calibri"/>
        <family val="2"/>
        <scheme val="minor"/>
      </rPr>
      <t xml:space="preserve"> (https://portfoliomanager.energystar.gov/pdf/reference/Emissions.pdf)</t>
    </r>
  </si>
  <si>
    <t>Indirect Greenhouse Gas Emission Factors for Electricity in the U.S.  (National Average)</t>
  </si>
  <si>
    <t>Direct GHG Emissions Factors for the U.S. and Canada</t>
  </si>
  <si>
    <t xml:space="preserve">Indirect GHG Emissions Factors for all District Fuels
</t>
  </si>
  <si>
    <t>Water Calculator Assumptions</t>
  </si>
  <si>
    <t>Fixture Type</t>
  </si>
  <si>
    <t>Maximum Installed Flush/Flow Rate</t>
  </si>
  <si>
    <t>Default Usage per Day</t>
  </si>
  <si>
    <t>Bathroom faucet</t>
  </si>
  <si>
    <t>Kitchen faucet</t>
  </si>
  <si>
    <t>Measure selection completion:</t>
  </si>
  <si>
    <t>Error check completion:</t>
  </si>
  <si>
    <t>EWEM Number</t>
  </si>
  <si>
    <t>Status</t>
  </si>
  <si>
    <t>Number of units</t>
  </si>
  <si>
    <t>Required sample size</t>
  </si>
  <si>
    <t>Emissions scenarios (kgCO2e)</t>
  </si>
  <si>
    <t>Existing property</t>
  </si>
  <si>
    <t>Existing property w/ EWEMs</t>
  </si>
  <si>
    <t>Fully electric property w/ EWEMs</t>
  </si>
  <si>
    <t>Fully electric property</t>
  </si>
  <si>
    <t>Current (20% clean)</t>
  </si>
  <si>
    <t>80% clean</t>
  </si>
  <si>
    <t>100% clean</t>
  </si>
  <si>
    <t>^Fully electric scenarios includes 20% assumed efficiency increase for replacing fuel combustion with electricity</t>
  </si>
  <si>
    <t>Supporting calculations:</t>
  </si>
  <si>
    <t>Existing site kbtu</t>
  </si>
  <si>
    <t>EWEM savings site kbtu</t>
  </si>
  <si>
    <t>Existing prop w/ EWEMs site kbtu</t>
  </si>
  <si>
    <t>District steam/heating/cooling</t>
  </si>
  <si>
    <t>Nat gas/propane/fuel oil/other</t>
  </si>
  <si>
    <t>Dropdown Choices</t>
  </si>
  <si>
    <t>(Yes / No)</t>
  </si>
  <si>
    <t>Tenant Utility Billing Method</t>
  </si>
  <si>
    <t>Utility Payer (Owner, Tenant, both)</t>
  </si>
  <si>
    <t>Fuel Units</t>
  </si>
  <si>
    <t>Water units</t>
  </si>
  <si>
    <t>Tenant Consumption Data Sources:</t>
  </si>
  <si>
    <t>Non-Electric Fuels:</t>
  </si>
  <si>
    <t>Lender List</t>
  </si>
  <si>
    <t>HPB Report Score</t>
  </si>
  <si>
    <t>EWEM #s</t>
  </si>
  <si>
    <t>Water Uses</t>
  </si>
  <si>
    <t>In-Unit Utility Fuel</t>
  </si>
  <si>
    <t>Roof type</t>
  </si>
  <si>
    <t>Solar PV location</t>
  </si>
  <si>
    <t>HPB Consultant List</t>
  </si>
  <si>
    <t>States</t>
  </si>
  <si>
    <t>Yes</t>
  </si>
  <si>
    <t>Separately metered</t>
  </si>
  <si>
    <t>Both - direct meter</t>
  </si>
  <si>
    <t>Model</t>
  </si>
  <si>
    <t>Arbor Commercial Funding I, LLC</t>
  </si>
  <si>
    <t>No further review</t>
  </si>
  <si>
    <t>Apartments</t>
  </si>
  <si>
    <t>Pool</t>
  </si>
  <si>
    <t>Flat</t>
  </si>
  <si>
    <t>Roof Mount</t>
  </si>
  <si>
    <t>AEI Consultants</t>
  </si>
  <si>
    <t>AL</t>
  </si>
  <si>
    <t>No</t>
  </si>
  <si>
    <t>Submetered</t>
  </si>
  <si>
    <t>Both - submeter</t>
  </si>
  <si>
    <t>Representative sample bills</t>
  </si>
  <si>
    <t>Barings Multifamily Capital LLC</t>
  </si>
  <si>
    <t>Minor corrections</t>
  </si>
  <si>
    <t>Common area</t>
  </si>
  <si>
    <t>Commercial kitchen - Seniors housing</t>
  </si>
  <si>
    <t>Shingle</t>
  </si>
  <si>
    <t>Carport/Canopy</t>
  </si>
  <si>
    <t>BBG, Inc.</t>
  </si>
  <si>
    <t>AK</t>
  </si>
  <si>
    <t>RUBS</t>
  </si>
  <si>
    <t>Both - RUBS</t>
  </si>
  <si>
    <t>Whole property aggregate</t>
  </si>
  <si>
    <t>Bellwether Enterprise Mortgage Investments, LLC</t>
  </si>
  <si>
    <t>Substantial issues</t>
  </si>
  <si>
    <t>Apts and comm area</t>
  </si>
  <si>
    <t>Resident car wash</t>
  </si>
  <si>
    <t>Ground Mount</t>
  </si>
  <si>
    <t>AZ</t>
  </si>
  <si>
    <t>Flat fee/other</t>
  </si>
  <si>
    <t>Both - flat fee/other</t>
  </si>
  <si>
    <t>Berkadia Commercial Mortgage LLC</t>
  </si>
  <si>
    <t>Leaks</t>
  </si>
  <si>
    <t>Building Evaluation Services and Technology (BEST)</t>
  </si>
  <si>
    <t>AR</t>
  </si>
  <si>
    <t>Capital One, National Association</t>
  </si>
  <si>
    <t>Unidentified</t>
  </si>
  <si>
    <t>Consulting Solutions Inc</t>
  </si>
  <si>
    <t>CA</t>
  </si>
  <si>
    <t>Owner only</t>
  </si>
  <si>
    <t>CBRE Multifamily Capital, Inc.</t>
  </si>
  <si>
    <t>CZ</t>
  </si>
  <si>
    <t>Tenant only</t>
  </si>
  <si>
    <t>Cinnaire Corporation</t>
  </si>
  <si>
    <t>GRS Group</t>
  </si>
  <si>
    <t>CO</t>
  </si>
  <si>
    <t>Citi Community Capital</t>
  </si>
  <si>
    <t>Nova Group, GBC</t>
  </si>
  <si>
    <t>CT</t>
  </si>
  <si>
    <t>Citibank, N.A.</t>
  </si>
  <si>
    <t>DE</t>
  </si>
  <si>
    <t>Community Preservation Corporation</t>
  </si>
  <si>
    <t>Partner Energy</t>
  </si>
  <si>
    <t>DC</t>
  </si>
  <si>
    <t>Colliers Mortgage LLC</t>
  </si>
  <si>
    <t>Real Estate Advisory LLC (REA)</t>
  </si>
  <si>
    <t>FL</t>
  </si>
  <si>
    <t>Dougherty Mortgage, LLC</t>
  </si>
  <si>
    <t>GA</t>
  </si>
  <si>
    <t>Grandbridge Real Estate Capital LLC</t>
  </si>
  <si>
    <t>GU</t>
  </si>
  <si>
    <t>Greystone Servicing Company, LLC</t>
  </si>
  <si>
    <t>HI</t>
  </si>
  <si>
    <t>Hunt Mortgage Capital, LLC</t>
  </si>
  <si>
    <t>ID</t>
  </si>
  <si>
    <t>Jones Lang LaSalle Multifamily, LLC.</t>
  </si>
  <si>
    <t>IL</t>
  </si>
  <si>
    <t>JPMorgan Chase Bank, NA</t>
  </si>
  <si>
    <t>IN</t>
  </si>
  <si>
    <t>KEYBANK NATIONAL ASSOCIATION</t>
  </si>
  <si>
    <t>IA</t>
  </si>
  <si>
    <t>M &amp; T Realty Capital Corporation</t>
  </si>
  <si>
    <t>KS</t>
  </si>
  <si>
    <t>Massachusetts Housing Partnership</t>
  </si>
  <si>
    <t>KY</t>
  </si>
  <si>
    <t>Merchants Capital Corp</t>
  </si>
  <si>
    <t>LA</t>
  </si>
  <si>
    <t>Newmark Knight Frank</t>
  </si>
  <si>
    <t>ME</t>
  </si>
  <si>
    <t>NorthMarq Capital Finance, L.L.C.</t>
  </si>
  <si>
    <t>MD</t>
  </si>
  <si>
    <t>Orix Real Estate Capital, LLC</t>
  </si>
  <si>
    <t>MA</t>
  </si>
  <si>
    <t>PNC Bank, National Association</t>
  </si>
  <si>
    <t>MI</t>
  </si>
  <si>
    <t>Prudential Multifamily Mortgage, LLC</t>
  </si>
  <si>
    <t>MN</t>
  </si>
  <si>
    <t>Regions Bank</t>
  </si>
  <si>
    <t>MS</t>
  </si>
  <si>
    <t>Sabal Capital Partners</t>
  </si>
  <si>
    <t>MO</t>
  </si>
  <si>
    <t>The Community Development Trust Inc</t>
  </si>
  <si>
    <t>MT</t>
  </si>
  <si>
    <t>Truist Bank</t>
  </si>
  <si>
    <t>NE</t>
  </si>
  <si>
    <t>Walker &amp; Dunlop, LLC</t>
  </si>
  <si>
    <t>NV</t>
  </si>
  <si>
    <t>Wells Fargo Bank, N.A.</t>
  </si>
  <si>
    <t>NH</t>
  </si>
  <si>
    <t>NJ</t>
  </si>
  <si>
    <t>NM</t>
  </si>
  <si>
    <t>NY</t>
  </si>
  <si>
    <t>NC</t>
  </si>
  <si>
    <t>ND</t>
  </si>
  <si>
    <t>OH</t>
  </si>
  <si>
    <t>OK</t>
  </si>
  <si>
    <t>OR</t>
  </si>
  <si>
    <t>PA</t>
  </si>
  <si>
    <t>PR</t>
  </si>
  <si>
    <t>RI</t>
  </si>
  <si>
    <t>SC</t>
  </si>
  <si>
    <t>SD</t>
  </si>
  <si>
    <t>TN</t>
  </si>
  <si>
    <t>TX</t>
  </si>
  <si>
    <t>UT</t>
  </si>
  <si>
    <t>VT</t>
  </si>
  <si>
    <t>VI</t>
  </si>
  <si>
    <t>VA</t>
  </si>
  <si>
    <t>WA</t>
  </si>
  <si>
    <t>WV</t>
  </si>
  <si>
    <t>WI</t>
  </si>
  <si>
    <t>WY</t>
  </si>
  <si>
    <t>Advanced controls and metering</t>
  </si>
  <si>
    <t>Boiler plant improvements</t>
  </si>
  <si>
    <t>Building envelope</t>
  </si>
  <si>
    <t>Chiller plant improvements</t>
  </si>
  <si>
    <t>Distributed generation</t>
  </si>
  <si>
    <t>Electric motors and drives</t>
  </si>
  <si>
    <t>Renewable energy systems</t>
  </si>
  <si>
    <t>Water and steam distribution</t>
  </si>
  <si>
    <t>Uncategorized</t>
  </si>
  <si>
    <t>Add or upgrade BAS/EMS/EMCS</t>
  </si>
  <si>
    <t>Replace central heating boiler with electric heating</t>
  </si>
  <si>
    <t>Air seal envelope/weather-strip</t>
  </si>
  <si>
    <t>Replace chiller</t>
  </si>
  <si>
    <t>Install CHP/cogeneration systems</t>
  </si>
  <si>
    <t>Add drive controls</t>
  </si>
  <si>
    <t>Upgrade whole building lighting</t>
  </si>
  <si>
    <t>Install photovoltaic system</t>
  </si>
  <si>
    <t>Add pipe insulation</t>
  </si>
  <si>
    <t>Add or upgrade controls</t>
  </si>
  <si>
    <t>Replace clothes dryers with ENERGY STAR certified</t>
  </si>
  <si>
    <t>Replace individual heating boiler with electric heating</t>
  </si>
  <si>
    <t>Increase wall insulation</t>
  </si>
  <si>
    <t>Install VSD on electric centrifugal chillers</t>
  </si>
  <si>
    <t>Install fuel cells</t>
  </si>
  <si>
    <t>Replace with higher efficiency</t>
  </si>
  <si>
    <t>Install or replace heat pumps</t>
  </si>
  <si>
    <t>Upgrade common area lighting</t>
  </si>
  <si>
    <t>Install photovoltaic system with battery storage</t>
  </si>
  <si>
    <t>Add tank insulation</t>
  </si>
  <si>
    <t>Convert pneumatic controls to DDC</t>
  </si>
  <si>
    <t>Insulate boiler room</t>
  </si>
  <si>
    <t>Increase roof insulation</t>
  </si>
  <si>
    <t>Add economizer cycle</t>
  </si>
  <si>
    <t>Install microturbines</t>
  </si>
  <si>
    <t>Install solar hot water system</t>
  </si>
  <si>
    <t>Add VSD motor controller</t>
  </si>
  <si>
    <t>Replace split system AC</t>
  </si>
  <si>
    <t>Upgrade exterior lighting</t>
  </si>
  <si>
    <t>Install battery storage</t>
  </si>
  <si>
    <t>Replace with higher efficiency pump</t>
  </si>
  <si>
    <t>Install advanced metering systems</t>
  </si>
  <si>
    <t>Insulate boiler</t>
  </si>
  <si>
    <t>Add attic insulation</t>
  </si>
  <si>
    <t>Add or replace cooling tower</t>
  </si>
  <si>
    <t>Upgrade controls</t>
  </si>
  <si>
    <t>Separate DHW from heating</t>
  </si>
  <si>
    <t>Upgrade elevator technology</t>
  </si>
  <si>
    <t>Replace package units</t>
  </si>
  <si>
    <t>Install wind energy system</t>
  </si>
  <si>
    <t>Replace with variable speed pump</t>
  </si>
  <si>
    <t>Install plug load controls</t>
  </si>
  <si>
    <t>Add energy recovery</t>
  </si>
  <si>
    <t>Insulate foundation</t>
  </si>
  <si>
    <t>Replace or modify AHU</t>
  </si>
  <si>
    <t>Install sensors/controls</t>
  </si>
  <si>
    <t>Add recirculating pumps</t>
  </si>
  <si>
    <t>Convert system from steam to hot water</t>
  </si>
  <si>
    <t>Replace roof</t>
  </si>
  <si>
    <t>Replace PTACs</t>
  </si>
  <si>
    <t>Implement water efficient irrigation</t>
  </si>
  <si>
    <t>Balance distribution system</t>
  </si>
  <si>
    <t>Repair or replace roof for solar PV installation</t>
  </si>
  <si>
    <t>Replace wall/window AC</t>
  </si>
  <si>
    <t>Install pool cover</t>
  </si>
  <si>
    <t>Replace steam traps</t>
  </si>
  <si>
    <t>Replace windows</t>
  </si>
  <si>
    <t>Add duct insulation</t>
  </si>
  <si>
    <t>Install thermostatic showerhead valves and/or tub diverters</t>
  </si>
  <si>
    <t>Install thermostatic radiator valves</t>
  </si>
  <si>
    <t>Replace doors</t>
  </si>
  <si>
    <t>Seal ducts</t>
  </si>
  <si>
    <t>Install or replace condensate return system</t>
  </si>
  <si>
    <t>Add storm windows</t>
  </si>
  <si>
    <t>Replace exhaust or ventilation fans</t>
  </si>
  <si>
    <t>Add window films</t>
  </si>
  <si>
    <t>Upgrade and balance ventilation system</t>
  </si>
  <si>
    <t>Install or replace solar screens</t>
  </si>
  <si>
    <t>Install ground source heat pump system</t>
  </si>
  <si>
    <t>Install cool/green roof</t>
  </si>
  <si>
    <t>Add economizer</t>
  </si>
  <si>
    <t>Other heating</t>
  </si>
  <si>
    <t>Other cooling</t>
  </si>
  <si>
    <t>Other ventilation</t>
  </si>
  <si>
    <t>Other distribution</t>
  </si>
  <si>
    <t>REFERENCE: EWEM By Category</t>
  </si>
  <si>
    <r>
      <t xml:space="preserve">Note: </t>
    </r>
    <r>
      <rPr>
        <i/>
        <sz val="10"/>
        <color theme="1"/>
        <rFont val="Source Sans Pro"/>
        <family val="2"/>
      </rPr>
      <t>This sheet exists only as a reference for users to view available EWEM categories and Energy and Water Efficiency Measures.</t>
    </r>
  </si>
  <si>
    <t>Measure names to mask in DB:</t>
  </si>
  <si>
    <t>EWEM name</t>
  </si>
  <si>
    <t>EWEM name for DB</t>
  </si>
  <si>
    <t>Replace dishwashers with ENERGY STAR rated</t>
  </si>
  <si>
    <t>Replace clothes dryers with ENERGY STAR rated</t>
  </si>
  <si>
    <t>Replace washing machines with ENERGY STAR rated</t>
  </si>
  <si>
    <t>Replace refrigerators with ENERGY STAR rated</t>
  </si>
  <si>
    <t>REFERENCE: EWEM EULs By Category</t>
  </si>
  <si>
    <t>Fannie Mae EUL Table</t>
  </si>
  <si>
    <t>Item</t>
  </si>
  <si>
    <t>Alternative EULs</t>
  </si>
  <si>
    <t>Heating/Cooling System and Controls</t>
  </si>
  <si>
    <t>Outdoor Temperature Sensor</t>
  </si>
  <si>
    <t>none</t>
  </si>
  <si>
    <t>Dwelling Unit Fixtures</t>
  </si>
  <si>
    <t>Kitchen: Dishwasher</t>
  </si>
  <si>
    <t>[Interior/Common area finishes] Common area, dishwasher</t>
  </si>
  <si>
    <t>Kitchen: Refrigerator; [Interior/Common area finishes] Common area, refrigerator</t>
  </si>
  <si>
    <t>Boilers</t>
  </si>
  <si>
    <t>Gas/ dual fuel, sectional; Gas fired atmospheric</t>
  </si>
  <si>
    <t>[Boilers] Oil/gas dual fired, low MBH; [Boilers] Oil/gas dual fired, high MBH</t>
  </si>
  <si>
    <t>Dwelling Unit HVAC and Mechanical Equipment</t>
  </si>
  <si>
    <t>Unit Level Boiler</t>
  </si>
  <si>
    <t>Boiler Room Equipment</t>
  </si>
  <si>
    <t>Boiler Temperature Controls</t>
  </si>
  <si>
    <t>Building Envelope/Cladding/Exterior Wall Finishes</t>
  </si>
  <si>
    <t>Insulation, wall</t>
  </si>
  <si>
    <t>[Building Envelope/Cladding/Exterior Wall Finishes] Exterior Insulation Finishing Systems (EIFS)</t>
  </si>
  <si>
    <t>Roof Systems</t>
  </si>
  <si>
    <t>Built-up roof - Ethylene Propylene Diene Monomer (EPDM)/ Thermoplastic Polyolefin (TPO)</t>
  </si>
  <si>
    <t>Foundations</t>
  </si>
  <si>
    <t>Doors and Windows</t>
  </si>
  <si>
    <t>Windows (frames and glazing), vinyl or aluminum</t>
  </si>
  <si>
    <t>[Doors and Windows] Residential Sliding Glass Doors</t>
  </si>
  <si>
    <t>Exterior unit door, solid wood/ metal clad; Exterior common door, solid core wood or metal clad</t>
  </si>
  <si>
    <t>[Doors and Windows] Exterior common door, aluminum and glass</t>
  </si>
  <si>
    <t>Storm/ screen windows</t>
  </si>
  <si>
    <t>Building heating water temperature controls</t>
  </si>
  <si>
    <t>Chilling Plant</t>
  </si>
  <si>
    <t>Water distribution and domestic hot water systems; Building heating water temperature controls</t>
  </si>
  <si>
    <t>Cooling Tower</t>
  </si>
  <si>
    <t>Electrical systems</t>
  </si>
  <si>
    <t>Emergency Generator</t>
  </si>
  <si>
    <t>Water distribution and domestic hot water systems</t>
  </si>
  <si>
    <t>Exchanger in storage tank; Exchanger in boiler; External tankless; Domestic Hot Water Storage Tanks, Small (up to 150 gallons); Domestic Hot Water Storage Tanks, Large (over 150 gallons)</t>
  </si>
  <si>
    <t>Unit Level Domestic Hot Water</t>
  </si>
  <si>
    <t>Solar Hot Water</t>
  </si>
  <si>
    <t>Heating water controller</t>
  </si>
  <si>
    <t>Vertical Transportation - Elevators</t>
  </si>
  <si>
    <t>Elevator, Controller, dispatcher</t>
  </si>
  <si>
    <t>Heat pump condensing component</t>
  </si>
  <si>
    <t>Dwelling Unit HVAC and Mechanical Equipment; Heating/Cooling System and Controls</t>
  </si>
  <si>
    <t>Furnace (electric heat with A/C); Furnace (gas heat with A/C)</t>
  </si>
  <si>
    <t>Furnace (electric heat with A/C); Furnace (gas heat with A/C); Heater, wall mounted electric or gas</t>
  </si>
  <si>
    <t>Packaged HVAC (rooftop unit)</t>
  </si>
  <si>
    <t>[Dwelling Unit HVAC and Mechanical Equipment] Packaged HVAC (rooftop unit)</t>
  </si>
  <si>
    <t>Packaged terminal air conditioner (PTAC)</t>
  </si>
  <si>
    <t>A/C window unit or through wall</t>
  </si>
  <si>
    <t>Central unit Exhaust, roof mounted</t>
  </si>
  <si>
    <t>[Dwelling Unit Fixtures] Bathroom: Vent / Exhaust</t>
  </si>
  <si>
    <t>Interior/Common Area Finishes</t>
  </si>
  <si>
    <t>Interior lighting</t>
  </si>
  <si>
    <t>Site Lighting</t>
  </si>
  <si>
    <t>Building mounted exterior lighting</t>
  </si>
  <si>
    <t>[Site Lighting] Lighting (pole mounted)</t>
  </si>
  <si>
    <t>Bathroom: Toilet</t>
  </si>
  <si>
    <t>Bathroom: Fixtures/Faucets</t>
  </si>
  <si>
    <t>DHW Circulating Pumps</t>
  </si>
  <si>
    <t>Condensate and feedwater (steam)</t>
  </si>
  <si>
    <t>OCT23</t>
  </si>
  <si>
    <t>October, 2023 V.2</t>
  </si>
  <si>
    <t>Javelina Heights</t>
  </si>
  <si>
    <t>Generic Energy Consulting</t>
  </si>
  <si>
    <t>1258 Blake Ave</t>
  </si>
  <si>
    <t>Payson</t>
  </si>
  <si>
    <t>85541</t>
  </si>
  <si>
    <t>Arizona Public Service Company (APS)</t>
  </si>
  <si>
    <t>Southwest Gas</t>
  </si>
  <si>
    <t>Phoenix Water Services</t>
  </si>
  <si>
    <t>Install 129 ENERGY STAR-certified smart thermostats in apartments. Install one thermostat in the living room of each apartment unit.</t>
  </si>
  <si>
    <t>Install high efficiency heat pumps (10 HSPF, 16 SEER) in apartments to replace existing furnaces and AC units. Equipment must be ENERGY STAR-certified.</t>
  </si>
  <si>
    <t>Insulate all exposed hot water piping located in the basement mechanical rooms, using foam insulation with an R-value of 3 or above.</t>
  </si>
  <si>
    <t xml:space="preserve">Upgrade non-LED lighting in all apartments to LED. Refer to HPB report for replacement lighting specifications. </t>
  </si>
  <si>
    <t xml:space="preserve">Upgrade all lighting in building common areas and exterior to LED. Refer to HPB report for replacement lighting specifications. </t>
  </si>
  <si>
    <t>Add occupancy sensor controls to the offices, club room, and bathrooms, in the rental office building and all laundry rooms.</t>
  </si>
  <si>
    <t>Replace all 129 apartment refrigerators with ENERGY STAR-certified models.</t>
  </si>
  <si>
    <t>Replace all 129 apartment dishwashers with ENERGY STAR-certified models.</t>
  </si>
  <si>
    <t>Install 235 low-flow 1.0 GPM WaterSense-certified bathroom faucet aerators.</t>
  </si>
  <si>
    <t>Install 129 low-flow 1.5 GPM kitchen faucet aerators.</t>
  </si>
  <si>
    <t>Install 181 low-flow 1.5 GPM WaterSense-certified showerheads.</t>
  </si>
  <si>
    <t>Install 235 0.8 GPF WaterSense-certified toilets.</t>
  </si>
  <si>
    <t>Upgrade existing 5-HP continuous-speed pool pump to VSD-controlled pool pump.</t>
  </si>
  <si>
    <t>Install grid-tied 850.8 kW Solar PV system comprised of 520.8 kW roof-mounted (non-ballasted) and 330 kW canopy-mounted arrays. Selective tree trimming and roof replacement must be included.</t>
  </si>
  <si>
    <t>Install foam roof overlap on top of existing roof for building A,B,E,F,G,H,I and leasing office. Must be included if EWEM "install photovoltaic system" is selected.</t>
  </si>
  <si>
    <t>EV charging in parking is feasible. DHW and space heating are currently supported by natural gas. Cooking is currently natural gas.</t>
  </si>
  <si>
    <t>Switching from a furnace + air conditioner to a more efficient heat pump is recommended as an EWEM. EV charging and electric DHW may be feasible.</t>
  </si>
  <si>
    <t>Proposed 0.8 GPF toilet model is appropriate for installation. Property management has installed the same model at similar properties with no issues with performance.</t>
  </si>
  <si>
    <t>Actual refrigerator cost from vendor was quoted at $394 per apartment.</t>
  </si>
  <si>
    <t>Generic Lender</t>
  </si>
  <si>
    <t>Byron Clark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</si>
</sst>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 numFmtId="167" formatCode="0.000"/>
    <numFmt numFmtId="168" formatCode="0.0"/>
    <numFmt numFmtId="169" formatCode="0;\-0;;@"/>
    <numFmt numFmtId="170" formatCode="0.0000000"/>
  </numFmts>
  <fonts count="85" x14ac:knownFonts="1">
    <font>
      <sz val="11"/>
      <color theme="1"/>
      <name val="Calibri"/>
      <family val="2"/>
      <scheme val="minor"/>
    </font>
    <font>
      <sz val="11"/>
      <color indexed="8"/>
      <name val="Calibri"/>
      <family val="2"/>
    </font>
    <font>
      <sz val="11"/>
      <color theme="1"/>
      <name val="Calibri"/>
      <family val="2"/>
      <scheme val="minor"/>
    </font>
    <font>
      <b/>
      <sz val="11"/>
      <color theme="1"/>
      <name val="Calibri"/>
      <family val="2"/>
      <scheme val="minor"/>
    </font>
    <font>
      <sz val="16"/>
      <color theme="1"/>
      <name val="Calibri"/>
      <family val="2"/>
      <scheme val="minor"/>
    </font>
    <font>
      <i/>
      <sz val="14"/>
      <color theme="1"/>
      <name val="Calibri"/>
      <family val="2"/>
      <scheme val="minor"/>
    </font>
    <font>
      <u/>
      <sz val="11"/>
      <color theme="10"/>
      <name val="Calibri"/>
      <family val="2"/>
      <scheme val="minor"/>
    </font>
    <font>
      <sz val="11"/>
      <color theme="1"/>
      <name val="Arial"/>
      <family val="2"/>
    </font>
    <font>
      <b/>
      <i/>
      <sz val="11"/>
      <color rgb="FFFF0000"/>
      <name val="Arial"/>
      <family val="2"/>
    </font>
    <font>
      <b/>
      <sz val="10"/>
      <name val="Arial"/>
      <family val="2"/>
    </font>
    <font>
      <sz val="9"/>
      <name val="Arial"/>
      <family val="2"/>
    </font>
    <font>
      <sz val="9"/>
      <color theme="1"/>
      <name val="Arial"/>
      <family val="2"/>
    </font>
    <font>
      <sz val="10"/>
      <color theme="1"/>
      <name val="Arial"/>
      <family val="2"/>
    </font>
    <font>
      <i/>
      <sz val="10"/>
      <color theme="1"/>
      <name val="Arial"/>
      <family val="2"/>
    </font>
    <font>
      <sz val="10"/>
      <name val="Arial"/>
      <family val="2"/>
    </font>
    <font>
      <b/>
      <sz val="9"/>
      <color theme="1"/>
      <name val="Arial"/>
      <family val="2"/>
    </font>
    <font>
      <sz val="9"/>
      <color rgb="FFFF0000"/>
      <name val="Arial"/>
      <family val="2"/>
    </font>
    <font>
      <sz val="9"/>
      <color rgb="FF000000"/>
      <name val="Arial"/>
      <family val="2"/>
    </font>
    <font>
      <b/>
      <sz val="11"/>
      <color theme="0"/>
      <name val="Calibri"/>
      <family val="2"/>
      <scheme val="minor"/>
    </font>
    <font>
      <sz val="11"/>
      <color theme="0"/>
      <name val="Calibri"/>
      <family val="2"/>
      <scheme val="minor"/>
    </font>
    <font>
      <sz val="9"/>
      <color indexed="81"/>
      <name val="Tahoma"/>
      <family val="2"/>
    </font>
    <font>
      <b/>
      <sz val="9"/>
      <color indexed="81"/>
      <name val="Tahoma"/>
      <family val="2"/>
    </font>
    <font>
      <b/>
      <i/>
      <sz val="10"/>
      <color theme="1"/>
      <name val="Arial"/>
      <family val="2"/>
    </font>
    <font>
      <b/>
      <sz val="20"/>
      <color theme="1"/>
      <name val="Arial Narrow"/>
      <family val="2"/>
    </font>
    <font>
      <b/>
      <sz val="11"/>
      <name val="Calibri"/>
      <family val="2"/>
      <scheme val="minor"/>
    </font>
    <font>
      <b/>
      <sz val="10"/>
      <color theme="1"/>
      <name val="Arial"/>
      <family val="2"/>
    </font>
    <font>
      <sz val="11"/>
      <color theme="1"/>
      <name val="Calibri"/>
      <family val="2"/>
      <scheme val="minor"/>
    </font>
    <font>
      <sz val="11"/>
      <name val="Calibri"/>
      <family val="2"/>
      <scheme val="minor"/>
    </font>
    <font>
      <sz val="11"/>
      <color rgb="FFFF0000"/>
      <name val="Calibri"/>
      <family val="2"/>
      <scheme val="minor"/>
    </font>
    <font>
      <b/>
      <sz val="11"/>
      <color theme="1"/>
      <name val="Calibri"/>
      <family val="2"/>
      <scheme val="minor"/>
    </font>
    <font>
      <sz val="11"/>
      <color theme="1"/>
      <name val="Calibri"/>
      <family val="2"/>
      <scheme val="minor"/>
    </font>
    <font>
      <sz val="11"/>
      <color theme="1"/>
      <name val="Calibri"/>
      <family val="2"/>
      <scheme val="minor"/>
    </font>
    <font>
      <sz val="9"/>
      <color rgb="FF00B050"/>
      <name val="Arial"/>
      <family val="2"/>
    </font>
    <font>
      <sz val="11"/>
      <color theme="0"/>
      <name val="Source Sans Pro"/>
      <family val="2"/>
    </font>
    <font>
      <b/>
      <sz val="10"/>
      <color theme="1"/>
      <name val="Source Sans Pro"/>
      <family val="2"/>
    </font>
    <font>
      <b/>
      <i/>
      <sz val="11"/>
      <color rgb="FFFF0000"/>
      <name val="Source Sans Pro"/>
      <family val="2"/>
    </font>
    <font>
      <sz val="11"/>
      <color theme="1"/>
      <name val="Source Sans Pro"/>
      <family val="2"/>
    </font>
    <font>
      <b/>
      <sz val="20"/>
      <name val="Source Sans Pro"/>
      <family val="2"/>
    </font>
    <font>
      <b/>
      <sz val="11"/>
      <name val="Source Sans Pro"/>
      <family val="2"/>
    </font>
    <font>
      <sz val="11"/>
      <color theme="3"/>
      <name val="Source Sans Pro"/>
      <family val="2"/>
    </font>
    <font>
      <b/>
      <sz val="9"/>
      <color theme="0"/>
      <name val="Source Sans Pro"/>
      <family val="2"/>
    </font>
    <font>
      <b/>
      <sz val="9"/>
      <name val="Source Sans Pro"/>
      <family val="2"/>
    </font>
    <font>
      <sz val="9"/>
      <color theme="1"/>
      <name val="Source Sans Pro"/>
      <family val="2"/>
    </font>
    <font>
      <b/>
      <i/>
      <sz val="11"/>
      <color theme="3"/>
      <name val="Source Sans Pro"/>
      <family val="2"/>
    </font>
    <font>
      <sz val="10"/>
      <name val="Source Sans Pro"/>
      <family val="2"/>
    </font>
    <font>
      <sz val="10"/>
      <color theme="1"/>
      <name val="Source Sans Pro"/>
      <family val="2"/>
    </font>
    <font>
      <sz val="11"/>
      <name val="Source Sans Pro"/>
      <family val="2"/>
    </font>
    <font>
      <sz val="9"/>
      <name val="Source Sans Pro"/>
      <family val="2"/>
    </font>
    <font>
      <b/>
      <sz val="20"/>
      <color theme="1"/>
      <name val="Source Sans Pro"/>
      <family val="2"/>
    </font>
    <font>
      <b/>
      <i/>
      <sz val="10"/>
      <color theme="1"/>
      <name val="Source Sans Pro"/>
      <family val="2"/>
    </font>
    <font>
      <b/>
      <sz val="14"/>
      <name val="Source Sans Pro"/>
      <family val="2"/>
    </font>
    <font>
      <sz val="9"/>
      <color rgb="FFFF0000"/>
      <name val="Source Sans Pro"/>
      <family val="2"/>
    </font>
    <font>
      <b/>
      <sz val="11"/>
      <color theme="1"/>
      <name val="Source Sans Pro"/>
      <family val="2"/>
    </font>
    <font>
      <sz val="11"/>
      <color rgb="FFFF0000"/>
      <name val="Source Sans Pro"/>
      <family val="2"/>
    </font>
    <font>
      <i/>
      <sz val="10"/>
      <color theme="1"/>
      <name val="Source Sans Pro"/>
      <family val="2"/>
    </font>
    <font>
      <b/>
      <i/>
      <sz val="9"/>
      <color theme="0"/>
      <name val="Source Sans Pro"/>
      <family val="2"/>
    </font>
    <font>
      <i/>
      <sz val="9"/>
      <color rgb="FFFF0000"/>
      <name val="Source Sans Pro"/>
      <family val="2"/>
    </font>
    <font>
      <b/>
      <sz val="14"/>
      <color theme="1"/>
      <name val="Source Sans Pro"/>
      <family val="2"/>
    </font>
    <font>
      <sz val="18"/>
      <color theme="1"/>
      <name val="Source Sans Pro"/>
      <family val="2"/>
    </font>
    <font>
      <b/>
      <sz val="9"/>
      <color theme="1"/>
      <name val="Source Sans Pro"/>
      <family val="2"/>
    </font>
    <font>
      <b/>
      <sz val="9"/>
      <color theme="0" tint="-0.499984740745262"/>
      <name val="Source Sans Pro"/>
      <family val="2"/>
    </font>
    <font>
      <b/>
      <i/>
      <sz val="9"/>
      <color theme="1"/>
      <name val="Source Sans Pro"/>
      <family val="2"/>
    </font>
    <font>
      <i/>
      <sz val="9"/>
      <color theme="1"/>
      <name val="Source Sans Pro"/>
      <family val="2"/>
    </font>
    <font>
      <b/>
      <sz val="12"/>
      <name val="Source Sans Pro"/>
      <family val="2"/>
    </font>
    <font>
      <sz val="11"/>
      <color theme="9" tint="-0.249977111117893"/>
      <name val="Source Sans Pro"/>
      <family val="2"/>
    </font>
    <font>
      <b/>
      <sz val="11"/>
      <color rgb="FF92D050"/>
      <name val="Source Sans Pro"/>
      <family val="2"/>
    </font>
    <font>
      <b/>
      <i/>
      <sz val="9"/>
      <name val="Source Sans Pro"/>
      <family val="2"/>
    </font>
    <font>
      <b/>
      <sz val="10"/>
      <name val="Source Sans Pro"/>
      <family val="2"/>
    </font>
    <font>
      <sz val="9"/>
      <color theme="9" tint="-0.249977111117893"/>
      <name val="Source Sans Pro"/>
      <family val="2"/>
    </font>
    <font>
      <sz val="11"/>
      <color theme="9"/>
      <name val="Source Sans Pro"/>
      <family val="2"/>
    </font>
    <font>
      <sz val="9"/>
      <color rgb="FF000000"/>
      <name val="Source Sans Pro"/>
      <family val="2"/>
    </font>
    <font>
      <b/>
      <u/>
      <sz val="9"/>
      <name val="Source Sans Pro"/>
      <family val="2"/>
    </font>
    <font>
      <i/>
      <u/>
      <sz val="10"/>
      <color theme="1"/>
      <name val="Source Sans Pro"/>
      <family val="2"/>
    </font>
    <font>
      <b/>
      <sz val="13"/>
      <name val="Source Sans Pro"/>
      <family val="2"/>
    </font>
    <font>
      <b/>
      <i/>
      <sz val="9"/>
      <color rgb="FFFF0000"/>
      <name val="Source Sans Pro"/>
      <family val="2"/>
    </font>
    <font>
      <u/>
      <sz val="9"/>
      <color theme="10"/>
      <name val="Source Sans Pro"/>
      <family val="2"/>
    </font>
    <font>
      <b/>
      <sz val="9"/>
      <color rgb="FF000000"/>
      <name val="Arial"/>
      <family val="2"/>
    </font>
    <font>
      <b/>
      <sz val="16"/>
      <name val="Source Sans Pro"/>
      <family val="2"/>
    </font>
    <font>
      <i/>
      <sz val="9"/>
      <name val="Source Sans Pro"/>
      <family val="2"/>
    </font>
    <font>
      <b/>
      <sz val="9"/>
      <name val="Source Sans Pro"/>
    </font>
    <font>
      <b/>
      <sz val="9"/>
      <color rgb="FF000000"/>
      <name val="Tahoma"/>
      <family val="2"/>
    </font>
    <font>
      <sz val="9"/>
      <color rgb="FF000000"/>
      <name val="Tahoma"/>
      <family val="2"/>
    </font>
    <font>
      <b/>
      <sz val="11"/>
      <color rgb="FF000000"/>
      <name val="Calibri"/>
      <family val="2"/>
      <scheme val="minor"/>
    </font>
    <font>
      <sz val="11"/>
      <color rgb="FF000000"/>
      <name val="Calibri"/>
      <family val="2"/>
      <scheme val="minor"/>
    </font>
    <font>
      <sz val="8"/>
      <color rgb="FF000000"/>
      <name val="Segoe UI"/>
      <charset val="1"/>
    </font>
  </fonts>
  <fills count="19">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0" tint="-0.249977111117893"/>
        <bgColor indexed="64"/>
      </patternFill>
    </fill>
    <fill>
      <patternFill patternType="solid">
        <fgColor theme="1" tint="0.249977111117893"/>
        <bgColor indexed="64"/>
      </patternFill>
    </fill>
    <fill>
      <patternFill patternType="solid">
        <fgColor rgb="FF92D050"/>
        <bgColor indexed="64"/>
      </patternFill>
    </fill>
    <fill>
      <patternFill patternType="solid">
        <fgColor theme="0" tint="-0.499984740745262"/>
        <bgColor indexed="64"/>
      </patternFill>
    </fill>
    <fill>
      <patternFill patternType="solid">
        <fgColor theme="1"/>
        <bgColor indexed="64"/>
      </patternFill>
    </fill>
    <fill>
      <patternFill patternType="solid">
        <fgColor theme="4"/>
        <bgColor indexed="64"/>
      </patternFill>
    </fill>
    <fill>
      <patternFill patternType="solid">
        <fgColor theme="1" tint="0.14999847407452621"/>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2"/>
        <bgColor indexed="64"/>
      </patternFill>
    </fill>
    <fill>
      <patternFill patternType="solid">
        <fgColor theme="8" tint="0.79998168889431442"/>
        <bgColor indexed="64"/>
      </patternFill>
    </fill>
    <fill>
      <patternFill patternType="solid">
        <fgColor rgb="FFFFFF99"/>
        <bgColor indexed="64"/>
      </patternFill>
    </fill>
  </fills>
  <borders count="157">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style="thin">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top style="thin">
        <color indexed="64"/>
      </top>
      <bottom style="thin">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theme="0" tint="-0.24994659260841701"/>
      </left>
      <right/>
      <top style="thin">
        <color theme="0" tint="-0.499984740745262"/>
      </top>
      <bottom style="thin">
        <color theme="0" tint="-0.24994659260841701"/>
      </bottom>
      <diagonal/>
    </border>
    <border>
      <left/>
      <right style="thin">
        <color theme="0" tint="-0.24994659260841701"/>
      </right>
      <top style="thin">
        <color theme="0" tint="-0.499984740745262"/>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style="thin">
        <color theme="0" tint="-0.499984740745262"/>
      </top>
      <bottom style="thin">
        <color theme="0" tint="-0.24994659260841701"/>
      </bottom>
      <diagonal/>
    </border>
    <border>
      <left/>
      <right/>
      <top style="thin">
        <color theme="0" tint="-0.24994659260841701"/>
      </top>
      <bottom style="thin">
        <color theme="0" tint="-0.24994659260841701"/>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hair">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hair">
        <color indexed="64"/>
      </right>
      <top/>
      <bottom style="thin">
        <color indexed="64"/>
      </bottom>
      <diagonal/>
    </border>
    <border>
      <left/>
      <right style="thin">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thin">
        <color theme="0" tint="-0.24994659260841701"/>
      </left>
      <right style="thin">
        <color theme="0" tint="-0.24994659260841701"/>
      </right>
      <top style="thin">
        <color theme="0" tint="-0.24994659260841701"/>
      </top>
      <bottom style="hair">
        <color theme="0" tint="-0.24994659260841701"/>
      </bottom>
      <diagonal/>
    </border>
    <border>
      <left style="thin">
        <color theme="0" tint="-0.24994659260841701"/>
      </left>
      <right style="thin">
        <color theme="0" tint="-0.24994659260841701"/>
      </right>
      <top style="hair">
        <color theme="0" tint="-0.24994659260841701"/>
      </top>
      <bottom style="hair">
        <color theme="0" tint="-0.24994659260841701"/>
      </bottom>
      <diagonal/>
    </border>
    <border>
      <left style="thin">
        <color theme="0" tint="-0.24994659260841701"/>
      </left>
      <right style="thin">
        <color theme="0" tint="-0.24994659260841701"/>
      </right>
      <top style="hair">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thin">
        <color theme="0" tint="-0.24994659260841701"/>
      </left>
      <right style="thin">
        <color theme="0" tint="-0.24994659260841701"/>
      </right>
      <top/>
      <bottom style="hair">
        <color theme="0" tint="-0.24994659260841701"/>
      </bottom>
      <diagonal/>
    </border>
    <border>
      <left style="thin">
        <color theme="0" tint="-0.24994659260841701"/>
      </left>
      <right style="thin">
        <color theme="0" tint="-0.24994659260841701"/>
      </right>
      <top style="hair">
        <color theme="0" tint="-0.24994659260841701"/>
      </top>
      <bottom style="double">
        <color theme="0" tint="-0.24994659260841701"/>
      </bottom>
      <diagonal/>
    </border>
    <border>
      <left style="thin">
        <color theme="0" tint="-0.24994659260841701"/>
      </left>
      <right style="thin">
        <color theme="0" tint="-0.24994659260841701"/>
      </right>
      <top style="double">
        <color theme="0" tint="-0.24994659260841701"/>
      </top>
      <bottom/>
      <diagonal/>
    </border>
    <border>
      <left style="thin">
        <color theme="0" tint="-0.24994659260841701"/>
      </left>
      <right style="thin">
        <color theme="0" tint="-0.24994659260841701"/>
      </right>
      <top/>
      <bottom style="thin">
        <color theme="0" tint="-0.24994659260841701"/>
      </bottom>
      <diagonal/>
    </border>
    <border>
      <left/>
      <right/>
      <top style="medium">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double">
        <color indexed="64"/>
      </top>
      <bottom style="hair">
        <color indexed="64"/>
      </bottom>
      <diagonal/>
    </border>
    <border>
      <left/>
      <right style="hair">
        <color indexed="64"/>
      </right>
      <top style="double">
        <color indexed="64"/>
      </top>
      <bottom style="hair">
        <color indexed="64"/>
      </bottom>
      <diagonal/>
    </border>
    <border>
      <left/>
      <right/>
      <top style="double">
        <color indexed="64"/>
      </top>
      <bottom style="hair">
        <color indexed="64"/>
      </bottom>
      <diagonal/>
    </border>
    <border>
      <left style="thin">
        <color indexed="64"/>
      </left>
      <right/>
      <top style="double">
        <color indexed="64"/>
      </top>
      <bottom/>
      <diagonal/>
    </border>
    <border>
      <left style="hair">
        <color indexed="64"/>
      </left>
      <right/>
      <top/>
      <bottom style="double">
        <color indexed="64"/>
      </bottom>
      <diagonal/>
    </border>
    <border>
      <left style="hair">
        <color indexed="64"/>
      </left>
      <right/>
      <top style="thin">
        <color indexed="64"/>
      </top>
      <bottom style="double">
        <color indexed="64"/>
      </bottom>
      <diagonal/>
    </border>
    <border>
      <left/>
      <right style="hair">
        <color indexed="64"/>
      </right>
      <top/>
      <bottom style="double">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theme="0" tint="-0.24994659260841701"/>
      </left>
      <right style="thin">
        <color theme="0" tint="-0.24994659260841701"/>
      </right>
      <top/>
      <bottom/>
      <diagonal/>
    </border>
    <border>
      <left style="thin">
        <color indexed="64"/>
      </left>
      <right/>
      <top style="hair">
        <color indexed="64"/>
      </top>
      <bottom style="double">
        <color indexed="64"/>
      </bottom>
      <diagonal/>
    </border>
    <border>
      <left style="thin">
        <color indexed="64"/>
      </left>
      <right style="thin">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thin">
        <color indexed="64"/>
      </right>
      <top/>
      <bottom style="double">
        <color indexed="64"/>
      </bottom>
      <diagonal/>
    </border>
    <border>
      <left style="thin">
        <color indexed="64"/>
      </left>
      <right style="hair">
        <color indexed="64"/>
      </right>
      <top/>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style="thin">
        <color indexed="64"/>
      </left>
      <right style="thin">
        <color indexed="64"/>
      </right>
      <top style="double">
        <color indexed="64"/>
      </top>
      <bottom style="hair">
        <color indexed="64"/>
      </bottom>
      <diagonal/>
    </border>
    <border>
      <left/>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hair">
        <color indexed="64"/>
      </top>
      <bottom/>
      <diagonal/>
    </border>
    <border>
      <left style="hair">
        <color indexed="64"/>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style="hair">
        <color indexed="64"/>
      </right>
      <top style="hair">
        <color indexed="64"/>
      </top>
      <bottom/>
      <diagonal/>
    </border>
    <border>
      <left style="thin">
        <color theme="0" tint="-0.24994659260841701"/>
      </left>
      <right style="thin">
        <color theme="0" tint="-0.24994659260841701"/>
      </right>
      <top style="double">
        <color theme="0" tint="-0.24994659260841701"/>
      </top>
      <bottom style="hair">
        <color theme="0" tint="-0.2499465926084170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thin">
        <color theme="0" tint="-0.499984740745262"/>
      </bottom>
      <diagonal/>
    </border>
    <border>
      <left/>
      <right/>
      <top style="thin">
        <color indexed="64"/>
      </top>
      <bottom style="thin">
        <color theme="0" tint="-0.499984740745262"/>
      </bottom>
      <diagonal/>
    </border>
    <border>
      <left style="thin">
        <color theme="0" tint="-0.499984740745262"/>
      </left>
      <right/>
      <top style="thin">
        <color indexed="64"/>
      </top>
      <bottom style="thin">
        <color theme="0" tint="-0.499984740745262"/>
      </bottom>
      <diagonal/>
    </border>
    <border>
      <left/>
      <right style="thin">
        <color theme="0" tint="-0.499984740745262"/>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indexed="64"/>
      </left>
      <right/>
      <top style="thin">
        <color theme="0" tint="-0.499984740745262"/>
      </top>
      <bottom style="thin">
        <color theme="0" tint="-0.24994659260841701"/>
      </bottom>
      <diagonal/>
    </border>
    <border>
      <left/>
      <right style="thin">
        <color indexed="64"/>
      </right>
      <top style="thin">
        <color theme="0" tint="-0.499984740745262"/>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right/>
      <top style="thin">
        <color theme="0" tint="-0.24994659260841701"/>
      </top>
      <bottom style="thin">
        <color indexed="64"/>
      </bottom>
      <diagonal/>
    </border>
    <border>
      <left/>
      <right style="thin">
        <color theme="0" tint="-0.24994659260841701"/>
      </right>
      <top style="thin">
        <color theme="0" tint="-0.24994659260841701"/>
      </top>
      <bottom style="thin">
        <color indexed="64"/>
      </bottom>
      <diagonal/>
    </border>
    <border>
      <left style="thin">
        <color theme="0" tint="-0.24994659260841701"/>
      </left>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right style="hair">
        <color indexed="64"/>
      </right>
      <top/>
      <bottom/>
      <diagonal/>
    </border>
    <border>
      <left style="hair">
        <color indexed="64"/>
      </left>
      <right/>
      <top/>
      <bottom/>
      <diagonal/>
    </border>
  </borders>
  <cellStyleXfs count="8">
    <xf numFmtId="0" fontId="0" fillId="0" borderId="0"/>
    <xf numFmtId="44" fontId="2" fillId="0" borderId="0" applyFont="0" applyFill="0" applyBorder="0" applyAlignment="0" applyProtection="0"/>
    <xf numFmtId="44" fontId="1"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6" fillId="0" borderId="0" applyNumberFormat="0" applyFill="0" applyBorder="0" applyAlignment="0" applyProtection="0"/>
    <xf numFmtId="0" fontId="2" fillId="0" borderId="0"/>
    <xf numFmtId="0" fontId="14" fillId="0" borderId="0"/>
  </cellStyleXfs>
  <cellXfs count="1051">
    <xf numFmtId="0" fontId="0" fillId="0" borderId="0" xfId="0"/>
    <xf numFmtId="0" fontId="0" fillId="0" borderId="0" xfId="0" applyAlignment="1">
      <alignment wrapText="1"/>
    </xf>
    <xf numFmtId="0" fontId="0" fillId="0" borderId="2" xfId="0" applyBorder="1"/>
    <xf numFmtId="0" fontId="3" fillId="0" borderId="0" xfId="0" applyFont="1"/>
    <xf numFmtId="0" fontId="3" fillId="0" borderId="0" xfId="0" applyFont="1" applyAlignment="1">
      <alignment wrapText="1"/>
    </xf>
    <xf numFmtId="0" fontId="4" fillId="0" borderId="0" xfId="0" applyFont="1"/>
    <xf numFmtId="0" fontId="0" fillId="0" borderId="1" xfId="0" applyBorder="1"/>
    <xf numFmtId="4" fontId="0" fillId="0" borderId="4" xfId="0" applyNumberFormat="1" applyBorder="1" applyAlignment="1">
      <alignment horizontal="center"/>
    </xf>
    <xf numFmtId="0" fontId="0" fillId="0" borderId="4" xfId="0" applyBorder="1" applyAlignment="1">
      <alignment horizontal="center"/>
    </xf>
    <xf numFmtId="3" fontId="0" fillId="0" borderId="0" xfId="0" applyNumberFormat="1" applyAlignment="1">
      <alignment horizontal="center"/>
    </xf>
    <xf numFmtId="4" fontId="0" fillId="0" borderId="0" xfId="0" applyNumberFormat="1" applyAlignment="1">
      <alignment horizontal="center"/>
    </xf>
    <xf numFmtId="0" fontId="0" fillId="0" borderId="0" xfId="0" applyAlignment="1">
      <alignment horizontal="center"/>
    </xf>
    <xf numFmtId="1" fontId="0" fillId="0" borderId="0" xfId="0" applyNumberFormat="1" applyAlignment="1">
      <alignment horizontal="center"/>
    </xf>
    <xf numFmtId="0" fontId="5" fillId="0" borderId="0" xfId="0" applyFont="1"/>
    <xf numFmtId="0" fontId="7" fillId="0" borderId="0" xfId="0" applyFont="1"/>
    <xf numFmtId="0" fontId="12" fillId="0" borderId="0" xfId="0" applyFont="1"/>
    <xf numFmtId="0" fontId="11" fillId="0" borderId="0" xfId="0" applyFont="1"/>
    <xf numFmtId="0" fontId="8" fillId="0" borderId="0" xfId="0" applyFont="1" applyAlignment="1">
      <alignment horizontal="left" wrapText="1"/>
    </xf>
    <xf numFmtId="0" fontId="10" fillId="0" borderId="0" xfId="0" applyFont="1"/>
    <xf numFmtId="2" fontId="11" fillId="3" borderId="48" xfId="0" applyNumberFormat="1" applyFont="1" applyFill="1" applyBorder="1" applyAlignment="1">
      <alignment vertical="center" wrapText="1"/>
    </xf>
    <xf numFmtId="0" fontId="11" fillId="0" borderId="49" xfId="0" applyFont="1" applyBorder="1" applyAlignment="1">
      <alignment vertical="center" wrapText="1"/>
    </xf>
    <xf numFmtId="2" fontId="11" fillId="3" borderId="50" xfId="0" applyNumberFormat="1" applyFont="1" applyFill="1" applyBorder="1" applyAlignment="1">
      <alignment vertical="center" wrapText="1"/>
    </xf>
    <xf numFmtId="0" fontId="11" fillId="0" borderId="51" xfId="0" applyFont="1" applyBorder="1" applyAlignment="1">
      <alignment vertical="center" wrapText="1"/>
    </xf>
    <xf numFmtId="1" fontId="11" fillId="3" borderId="48" xfId="0" applyNumberFormat="1" applyFont="1" applyFill="1" applyBorder="1" applyAlignment="1">
      <alignment vertical="center" wrapText="1"/>
    </xf>
    <xf numFmtId="1" fontId="11" fillId="3" borderId="50" xfId="0" applyNumberFormat="1" applyFont="1" applyFill="1" applyBorder="1" applyAlignment="1">
      <alignment vertical="center" wrapText="1"/>
    </xf>
    <xf numFmtId="0" fontId="19" fillId="8" borderId="0" xfId="0" applyFont="1" applyFill="1"/>
    <xf numFmtId="0" fontId="18" fillId="8" borderId="0" xfId="0" applyFont="1" applyFill="1"/>
    <xf numFmtId="0" fontId="0" fillId="0" borderId="67" xfId="0" applyBorder="1"/>
    <xf numFmtId="167" fontId="0" fillId="0" borderId="0" xfId="0" applyNumberFormat="1"/>
    <xf numFmtId="0" fontId="23" fillId="0" borderId="0" xfId="0" applyFont="1"/>
    <xf numFmtId="0" fontId="15" fillId="0" borderId="18" xfId="0" applyFont="1" applyBorder="1"/>
    <xf numFmtId="0" fontId="11" fillId="0" borderId="18" xfId="0" applyFont="1" applyBorder="1"/>
    <xf numFmtId="0" fontId="0" fillId="4" borderId="2" xfId="0" applyFill="1" applyBorder="1"/>
    <xf numFmtId="0" fontId="25" fillId="0" borderId="0" xfId="0" applyFont="1"/>
    <xf numFmtId="0" fontId="12" fillId="0" borderId="0" xfId="0" applyFont="1" applyAlignment="1">
      <alignment vertical="center"/>
    </xf>
    <xf numFmtId="0" fontId="12" fillId="0" borderId="0" xfId="0" applyFont="1" applyAlignment="1">
      <alignment wrapText="1"/>
    </xf>
    <xf numFmtId="0" fontId="25" fillId="0" borderId="0" xfId="0" applyFont="1" applyAlignment="1">
      <alignment horizontal="left" wrapText="1"/>
    </xf>
    <xf numFmtId="0" fontId="25" fillId="0" borderId="0" xfId="0" applyFont="1" applyAlignment="1">
      <alignment horizontal="left"/>
    </xf>
    <xf numFmtId="0" fontId="9" fillId="0" borderId="0" xfId="0" applyFont="1" applyAlignment="1">
      <alignment horizontal="left" wrapText="1"/>
    </xf>
    <xf numFmtId="0" fontId="14" fillId="0" borderId="0" xfId="0" applyFont="1"/>
    <xf numFmtId="0" fontId="26" fillId="0" borderId="0" xfId="0" applyFont="1"/>
    <xf numFmtId="0" fontId="27" fillId="0" borderId="0" xfId="0" applyFont="1"/>
    <xf numFmtId="0" fontId="28" fillId="0" borderId="0" xfId="0" applyFont="1"/>
    <xf numFmtId="0" fontId="0" fillId="16" borderId="0" xfId="0" applyFill="1"/>
    <xf numFmtId="0" fontId="29" fillId="0" borderId="0" xfId="0" applyFont="1"/>
    <xf numFmtId="0" fontId="30" fillId="0" borderId="0" xfId="0" applyFont="1"/>
    <xf numFmtId="0" fontId="31" fillId="0" borderId="0" xfId="0" applyFont="1"/>
    <xf numFmtId="0" fontId="13" fillId="0" borderId="0" xfId="0" applyFont="1" applyAlignment="1">
      <alignment wrapText="1"/>
    </xf>
    <xf numFmtId="0" fontId="15" fillId="0" borderId="18" xfId="0" applyFont="1" applyBorder="1" applyAlignment="1">
      <alignment horizontal="center"/>
    </xf>
    <xf numFmtId="0" fontId="7" fillId="0" borderId="0" xfId="0" applyFont="1" applyAlignment="1">
      <alignment horizontal="center"/>
    </xf>
    <xf numFmtId="0" fontId="10" fillId="0" borderId="0" xfId="0" applyFont="1" applyAlignment="1">
      <alignment horizontal="center"/>
    </xf>
    <xf numFmtId="0" fontId="11" fillId="0" borderId="0" xfId="0" applyFont="1" applyAlignment="1">
      <alignment horizontal="center"/>
    </xf>
    <xf numFmtId="0" fontId="8" fillId="0" borderId="0" xfId="0" applyFont="1" applyAlignment="1">
      <alignment horizontal="center" wrapText="1"/>
    </xf>
    <xf numFmtId="2" fontId="11" fillId="0" borderId="0" xfId="0" applyNumberFormat="1" applyFont="1"/>
    <xf numFmtId="0" fontId="11" fillId="0" borderId="0" xfId="0" quotePrefix="1" applyFont="1" applyAlignment="1">
      <alignment horizontal="center"/>
    </xf>
    <xf numFmtId="0" fontId="16" fillId="0" borderId="0" xfId="0" applyFont="1" applyAlignment="1">
      <alignment horizontal="center"/>
    </xf>
    <xf numFmtId="0" fontId="0" fillId="0" borderId="129" xfId="0" applyBorder="1" applyAlignment="1">
      <alignment horizontal="center"/>
    </xf>
    <xf numFmtId="0" fontId="0" fillId="0" borderId="130" xfId="0" applyBorder="1" applyAlignment="1">
      <alignment horizontal="center"/>
    </xf>
    <xf numFmtId="0" fontId="0" fillId="5" borderId="55" xfId="0" applyFill="1" applyBorder="1"/>
    <xf numFmtId="0" fontId="3" fillId="5" borderId="54" xfId="0" applyFont="1" applyFill="1" applyBorder="1"/>
    <xf numFmtId="0" fontId="3" fillId="5" borderId="54" xfId="0" applyFont="1" applyFill="1" applyBorder="1" applyAlignment="1">
      <alignment horizontal="right"/>
    </xf>
    <xf numFmtId="0" fontId="0" fillId="5" borderId="54" xfId="0" applyFill="1" applyBorder="1" applyAlignment="1">
      <alignment horizontal="right"/>
    </xf>
    <xf numFmtId="0" fontId="0" fillId="5" borderId="68" xfId="0" applyFill="1" applyBorder="1" applyAlignment="1">
      <alignment horizontal="right"/>
    </xf>
    <xf numFmtId="0" fontId="3" fillId="5" borderId="2" xfId="0" applyFont="1" applyFill="1" applyBorder="1" applyAlignment="1">
      <alignment horizontal="center"/>
    </xf>
    <xf numFmtId="0" fontId="0" fillId="5" borderId="117" xfId="0" applyFill="1" applyBorder="1"/>
    <xf numFmtId="0" fontId="0" fillId="5" borderId="65" xfId="0" applyFill="1" applyBorder="1"/>
    <xf numFmtId="0" fontId="3" fillId="0" borderId="2" xfId="0" applyFont="1" applyBorder="1"/>
    <xf numFmtId="0" fontId="24" fillId="0" borderId="2" xfId="0" applyFont="1" applyBorder="1"/>
    <xf numFmtId="9" fontId="0" fillId="0" borderId="0" xfId="3" applyFont="1" applyBorder="1"/>
    <xf numFmtId="0" fontId="3" fillId="0" borderId="65" xfId="0" applyFont="1" applyBorder="1"/>
    <xf numFmtId="9" fontId="0" fillId="0" borderId="2" xfId="3" applyFont="1" applyBorder="1"/>
    <xf numFmtId="3" fontId="0" fillId="5" borderId="25" xfId="0" applyNumberFormat="1" applyFill="1" applyBorder="1"/>
    <xf numFmtId="0" fontId="0" fillId="5" borderId="42" xfId="0" applyFill="1" applyBorder="1"/>
    <xf numFmtId="0" fontId="3" fillId="5" borderId="3" xfId="0" applyFont="1" applyFill="1" applyBorder="1"/>
    <xf numFmtId="0" fontId="3" fillId="5" borderId="19" xfId="0" applyFont="1" applyFill="1" applyBorder="1"/>
    <xf numFmtId="0" fontId="16" fillId="0" borderId="0" xfId="0" quotePrefix="1" applyFont="1" applyAlignment="1">
      <alignment horizontal="center"/>
    </xf>
    <xf numFmtId="0" fontId="32" fillId="0" borderId="0" xfId="0" applyFont="1" applyAlignment="1">
      <alignment horizontal="center"/>
    </xf>
    <xf numFmtId="14" fontId="0" fillId="0" borderId="2" xfId="0" applyNumberFormat="1" applyBorder="1"/>
    <xf numFmtId="0" fontId="6" fillId="0" borderId="0" xfId="5"/>
    <xf numFmtId="2" fontId="0" fillId="0" borderId="0" xfId="0" applyNumberFormat="1" applyAlignment="1">
      <alignment horizontal="center"/>
    </xf>
    <xf numFmtId="2" fontId="0" fillId="0" borderId="4" xfId="0" applyNumberFormat="1" applyBorder="1" applyAlignment="1">
      <alignment horizontal="center"/>
    </xf>
    <xf numFmtId="0" fontId="24" fillId="0" borderId="0" xfId="0" applyFont="1"/>
    <xf numFmtId="0" fontId="0" fillId="5" borderId="64" xfId="0" applyFill="1" applyBorder="1" applyAlignment="1">
      <alignment horizontal="right"/>
    </xf>
    <xf numFmtId="0" fontId="0" fillId="5" borderId="117" xfId="0" applyFill="1" applyBorder="1" applyAlignment="1">
      <alignment horizontal="right"/>
    </xf>
    <xf numFmtId="0" fontId="0" fillId="5" borderId="64" xfId="0" applyFill="1" applyBorder="1" applyAlignment="1">
      <alignment horizontal="left"/>
    </xf>
    <xf numFmtId="0" fontId="0" fillId="5" borderId="64" xfId="0" applyFill="1" applyBorder="1"/>
    <xf numFmtId="0" fontId="0" fillId="5" borderId="117" xfId="0" applyFill="1" applyBorder="1" applyAlignment="1">
      <alignment horizontal="left"/>
    </xf>
    <xf numFmtId="0" fontId="0" fillId="5" borderId="65" xfId="0" applyFill="1" applyBorder="1" applyAlignment="1">
      <alignment horizontal="left"/>
    </xf>
    <xf numFmtId="2" fontId="11" fillId="0" borderId="0" xfId="0" quotePrefix="1" applyNumberFormat="1" applyFont="1"/>
    <xf numFmtId="0" fontId="33" fillId="0" borderId="0" xfId="0" applyFont="1"/>
    <xf numFmtId="0" fontId="34" fillId="0" borderId="0" xfId="0" applyFont="1"/>
    <xf numFmtId="0" fontId="35" fillId="0" borderId="0" xfId="0" applyFont="1" applyAlignment="1">
      <alignment horizontal="left" wrapText="1"/>
    </xf>
    <xf numFmtId="0" fontId="36" fillId="0" borderId="0" xfId="0" applyFont="1"/>
    <xf numFmtId="0" fontId="38" fillId="0" borderId="4" xfId="0" applyFont="1" applyBorder="1"/>
    <xf numFmtId="0" fontId="36" fillId="0" borderId="4" xfId="0" applyFont="1" applyBorder="1"/>
    <xf numFmtId="0" fontId="39" fillId="0" borderId="0" xfId="0" applyFont="1"/>
    <xf numFmtId="0" fontId="40" fillId="12" borderId="2" xfId="0" applyFont="1" applyFill="1" applyBorder="1" applyAlignment="1">
      <alignment vertical="center"/>
    </xf>
    <xf numFmtId="0" fontId="40" fillId="11" borderId="2" xfId="0" applyFont="1" applyFill="1" applyBorder="1" applyAlignment="1">
      <alignment vertical="center"/>
    </xf>
    <xf numFmtId="0" fontId="41" fillId="9" borderId="2" xfId="0" applyFont="1" applyFill="1" applyBorder="1" applyAlignment="1">
      <alignment vertical="center"/>
    </xf>
    <xf numFmtId="0" fontId="40" fillId="10" borderId="2" xfId="0" applyFont="1" applyFill="1" applyBorder="1" applyAlignment="1">
      <alignment vertical="center"/>
    </xf>
    <xf numFmtId="0" fontId="38" fillId="0" borderId="0" xfId="0" applyFont="1"/>
    <xf numFmtId="0" fontId="41" fillId="5" borderId="2" xfId="0" applyFont="1" applyFill="1" applyBorder="1" applyAlignment="1">
      <alignment vertical="center"/>
    </xf>
    <xf numFmtId="0" fontId="43" fillId="0" borderId="0" xfId="0" applyFont="1"/>
    <xf numFmtId="0" fontId="38" fillId="0" borderId="0" xfId="0" applyFont="1" applyAlignment="1">
      <alignment vertical="top"/>
    </xf>
    <xf numFmtId="0" fontId="44" fillId="0" borderId="0" xfId="0" applyFont="1"/>
    <xf numFmtId="0" fontId="44" fillId="0" borderId="0" xfId="0" applyFont="1" applyAlignment="1">
      <alignment vertical="top"/>
    </xf>
    <xf numFmtId="0" fontId="46" fillId="0" borderId="0" xfId="0" applyFont="1"/>
    <xf numFmtId="0" fontId="48" fillId="0" borderId="0" xfId="0" applyFont="1"/>
    <xf numFmtId="0" fontId="49" fillId="0" borderId="0" xfId="0" applyFont="1"/>
    <xf numFmtId="0" fontId="47" fillId="0" borderId="0" xfId="0" applyFont="1"/>
    <xf numFmtId="0" fontId="47" fillId="0" borderId="0" xfId="0" applyFont="1" applyAlignment="1">
      <alignment horizontal="left"/>
    </xf>
    <xf numFmtId="0" fontId="50" fillId="0" borderId="4" xfId="0" applyFont="1" applyBorder="1"/>
    <xf numFmtId="0" fontId="47" fillId="0" borderId="4" xfId="0" applyFont="1" applyBorder="1" applyAlignment="1">
      <alignment horizontal="left"/>
    </xf>
    <xf numFmtId="0" fontId="47" fillId="0" borderId="4" xfId="0" applyFont="1" applyBorder="1"/>
    <xf numFmtId="0" fontId="36" fillId="0" borderId="0" xfId="0" applyFont="1" applyAlignment="1">
      <alignment vertical="center"/>
    </xf>
    <xf numFmtId="0" fontId="46" fillId="0" borderId="5" xfId="0" applyFont="1" applyBorder="1" applyAlignment="1">
      <alignment vertical="center"/>
    </xf>
    <xf numFmtId="0" fontId="46" fillId="0" borderId="0" xfId="0" applyFont="1" applyAlignment="1">
      <alignment vertical="center"/>
    </xf>
    <xf numFmtId="0" fontId="41" fillId="0" borderId="69" xfId="0" applyFont="1" applyBorder="1" applyAlignment="1">
      <alignment horizontal="right" vertical="center"/>
    </xf>
    <xf numFmtId="0" fontId="47" fillId="0" borderId="0" xfId="0" applyFont="1" applyAlignment="1">
      <alignment horizontal="right" vertical="center"/>
    </xf>
    <xf numFmtId="0" fontId="41" fillId="0" borderId="0" xfId="0" applyFont="1" applyAlignment="1">
      <alignment horizontal="right" vertical="center"/>
    </xf>
    <xf numFmtId="0" fontId="42" fillId="0" borderId="2" xfId="0" applyFont="1" applyBorder="1" applyAlignment="1" applyProtection="1">
      <alignment horizontal="center" vertical="center"/>
      <protection locked="0"/>
    </xf>
    <xf numFmtId="0" fontId="47" fillId="0" borderId="0" xfId="0" applyFont="1" applyAlignment="1" applyProtection="1">
      <alignment vertical="center"/>
      <protection hidden="1"/>
    </xf>
    <xf numFmtId="165" fontId="51" fillId="5" borderId="43" xfId="0" applyNumberFormat="1" applyFont="1" applyFill="1" applyBorder="1" applyAlignment="1">
      <alignment vertical="center"/>
    </xf>
    <xf numFmtId="165" fontId="47" fillId="5" borderId="24" xfId="0" applyNumberFormat="1" applyFont="1" applyFill="1" applyBorder="1" applyAlignment="1">
      <alignment vertical="center"/>
    </xf>
    <xf numFmtId="165" fontId="51" fillId="5" borderId="19" xfId="0" applyNumberFormat="1" applyFont="1" applyFill="1" applyBorder="1" applyAlignment="1">
      <alignment vertical="center"/>
    </xf>
    <xf numFmtId="0" fontId="41" fillId="0" borderId="0" xfId="0" applyFont="1" applyAlignment="1">
      <alignment horizontal="right"/>
    </xf>
    <xf numFmtId="0" fontId="47" fillId="0" borderId="17" xfId="0" applyFont="1" applyBorder="1"/>
    <xf numFmtId="164" fontId="47" fillId="5" borderId="65" xfId="0" applyNumberFormat="1" applyFont="1" applyFill="1" applyBorder="1" applyAlignment="1">
      <alignment vertical="center"/>
    </xf>
    <xf numFmtId="0" fontId="47" fillId="0" borderId="0" xfId="0" applyFont="1" applyAlignment="1">
      <alignment horizontal="right"/>
    </xf>
    <xf numFmtId="0" fontId="47" fillId="0" borderId="4" xfId="0" applyFont="1" applyBorder="1" applyAlignment="1">
      <alignment horizontal="right"/>
    </xf>
    <xf numFmtId="0" fontId="41" fillId="5" borderId="29" xfId="0" applyFont="1" applyFill="1" applyBorder="1" applyAlignment="1">
      <alignment horizontal="center" vertical="center" wrapText="1"/>
    </xf>
    <xf numFmtId="0" fontId="41" fillId="5" borderId="14" xfId="0" applyFont="1" applyFill="1" applyBorder="1" applyAlignment="1">
      <alignment horizontal="center" vertical="center" wrapText="1"/>
    </xf>
    <xf numFmtId="164" fontId="42" fillId="5" borderId="20" xfId="0" applyNumberFormat="1" applyFont="1" applyFill="1" applyBorder="1" applyAlignment="1">
      <alignment vertical="center" wrapText="1"/>
    </xf>
    <xf numFmtId="164" fontId="42" fillId="5" borderId="22" xfId="0" applyNumberFormat="1" applyFont="1" applyFill="1" applyBorder="1" applyAlignment="1">
      <alignment vertical="center" wrapText="1"/>
    </xf>
    <xf numFmtId="9" fontId="42" fillId="5" borderId="23" xfId="0" applyNumberFormat="1" applyFont="1" applyFill="1" applyBorder="1" applyAlignment="1">
      <alignment vertical="center" wrapText="1"/>
    </xf>
    <xf numFmtId="9" fontId="42" fillId="5" borderId="13" xfId="3" applyFont="1" applyFill="1" applyBorder="1" applyAlignment="1">
      <alignment vertical="center" wrapText="1"/>
    </xf>
    <xf numFmtId="0" fontId="47" fillId="0" borderId="18" xfId="0" applyFont="1" applyBorder="1"/>
    <xf numFmtId="0" fontId="47" fillId="0" borderId="18" xfId="0" applyFont="1" applyBorder="1" applyAlignment="1">
      <alignment horizontal="left"/>
    </xf>
    <xf numFmtId="0" fontId="41" fillId="0" borderId="18" xfId="0" applyFont="1" applyBorder="1" applyAlignment="1">
      <alignment horizontal="right" vertical="center"/>
    </xf>
    <xf numFmtId="164" fontId="41" fillId="5" borderId="40" xfId="0" applyNumberFormat="1" applyFont="1" applyFill="1" applyBorder="1" applyAlignment="1">
      <alignment vertical="center"/>
    </xf>
    <xf numFmtId="164" fontId="41" fillId="5" borderId="56" xfId="0" applyNumberFormat="1" applyFont="1" applyFill="1" applyBorder="1" applyAlignment="1">
      <alignment vertical="center"/>
    </xf>
    <xf numFmtId="164" fontId="42" fillId="5" borderId="30" xfId="0" applyNumberFormat="1" applyFont="1" applyFill="1" applyBorder="1" applyAlignment="1">
      <alignment vertical="center" wrapText="1"/>
    </xf>
    <xf numFmtId="164" fontId="42" fillId="5" borderId="12" xfId="0" applyNumberFormat="1" applyFont="1" applyFill="1" applyBorder="1" applyAlignment="1">
      <alignment vertical="center" wrapText="1"/>
    </xf>
    <xf numFmtId="164" fontId="41" fillId="5" borderId="29" xfId="0" applyNumberFormat="1" applyFont="1" applyFill="1" applyBorder="1" applyAlignment="1">
      <alignment vertical="center"/>
    </xf>
    <xf numFmtId="164" fontId="41" fillId="5" borderId="14" xfId="0" applyNumberFormat="1" applyFont="1" applyFill="1" applyBorder="1" applyAlignment="1">
      <alignment vertical="center"/>
    </xf>
    <xf numFmtId="164" fontId="42" fillId="0" borderId="2" xfId="1" applyNumberFormat="1" applyFont="1" applyFill="1" applyBorder="1" applyAlignment="1" applyProtection="1">
      <alignment vertical="center"/>
      <protection locked="0"/>
    </xf>
    <xf numFmtId="0" fontId="51" fillId="0" borderId="0" xfId="0" applyFont="1" applyAlignment="1" applyProtection="1">
      <alignment vertical="center"/>
      <protection hidden="1"/>
    </xf>
    <xf numFmtId="0" fontId="50" fillId="0" borderId="0" xfId="0" applyFont="1"/>
    <xf numFmtId="0" fontId="41" fillId="5" borderId="8" xfId="0" applyFont="1" applyFill="1" applyBorder="1" applyAlignment="1">
      <alignment horizontal="center" vertical="center" wrapText="1"/>
    </xf>
    <xf numFmtId="0" fontId="41" fillId="5" borderId="89" xfId="0" applyFont="1" applyFill="1" applyBorder="1" applyAlignment="1">
      <alignment horizontal="center" vertical="center" wrapText="1"/>
    </xf>
    <xf numFmtId="0" fontId="47" fillId="0" borderId="30" xfId="0" applyFont="1" applyBorder="1" applyAlignment="1" applyProtection="1">
      <alignment horizontal="center" vertical="center"/>
      <protection locked="0"/>
    </xf>
    <xf numFmtId="0" fontId="42" fillId="5" borderId="44" xfId="0" applyFont="1" applyFill="1" applyBorder="1" applyAlignment="1">
      <alignment horizontal="right" vertical="center"/>
    </xf>
    <xf numFmtId="0" fontId="42" fillId="5" borderId="63" xfId="0" applyFont="1" applyFill="1" applyBorder="1" applyAlignment="1" applyProtection="1">
      <alignment horizontal="left" vertical="center"/>
      <protection hidden="1"/>
    </xf>
    <xf numFmtId="164" fontId="42" fillId="5" borderId="15" xfId="0" applyNumberFormat="1" applyFont="1" applyFill="1" applyBorder="1" applyAlignment="1" applyProtection="1">
      <alignment horizontal="center" vertical="center" wrapText="1"/>
      <protection hidden="1"/>
    </xf>
    <xf numFmtId="164" fontId="42" fillId="5" borderId="30" xfId="1" applyNumberFormat="1" applyFont="1" applyFill="1" applyBorder="1" applyAlignment="1" applyProtection="1">
      <alignment horizontal="center" vertical="center"/>
      <protection hidden="1"/>
    </xf>
    <xf numFmtId="164" fontId="42" fillId="5" borderId="7" xfId="1" applyNumberFormat="1" applyFont="1" applyFill="1" applyBorder="1" applyAlignment="1" applyProtection="1">
      <alignment horizontal="center" vertical="center"/>
      <protection hidden="1"/>
    </xf>
    <xf numFmtId="164" fontId="42" fillId="5" borderId="22" xfId="1" applyNumberFormat="1" applyFont="1" applyFill="1" applyBorder="1" applyAlignment="1" applyProtection="1">
      <alignment horizontal="center" vertical="center"/>
      <protection hidden="1"/>
    </xf>
    <xf numFmtId="164" fontId="42" fillId="5" borderId="9" xfId="1" applyNumberFormat="1" applyFont="1" applyFill="1" applyBorder="1" applyAlignment="1" applyProtection="1">
      <alignment horizontal="center" vertical="center"/>
      <protection hidden="1"/>
    </xf>
    <xf numFmtId="164" fontId="42" fillId="5" borderId="12" xfId="1" applyNumberFormat="1" applyFont="1" applyFill="1" applyBorder="1" applyAlignment="1" applyProtection="1">
      <alignment horizontal="center" vertical="center"/>
      <protection hidden="1"/>
    </xf>
    <xf numFmtId="0" fontId="42" fillId="5" borderId="30" xfId="1" applyNumberFormat="1" applyFont="1" applyFill="1" applyBorder="1" applyAlignment="1" applyProtection="1">
      <alignment horizontal="center" vertical="center"/>
      <protection hidden="1"/>
    </xf>
    <xf numFmtId="0" fontId="42" fillId="5" borderId="7" xfId="1" applyNumberFormat="1" applyFont="1" applyFill="1" applyBorder="1" applyAlignment="1" applyProtection="1">
      <alignment horizontal="center" vertical="center"/>
      <protection hidden="1"/>
    </xf>
    <xf numFmtId="0" fontId="42" fillId="5" borderId="12" xfId="1" applyNumberFormat="1" applyFont="1" applyFill="1" applyBorder="1" applyAlignment="1" applyProtection="1">
      <alignment horizontal="center" vertical="center"/>
      <protection hidden="1"/>
    </xf>
    <xf numFmtId="165" fontId="42" fillId="5" borderId="30" xfId="3" applyNumberFormat="1" applyFont="1" applyFill="1" applyBorder="1" applyAlignment="1" applyProtection="1">
      <alignment horizontal="center" vertical="center"/>
      <protection hidden="1"/>
    </xf>
    <xf numFmtId="165" fontId="42" fillId="5" borderId="12" xfId="3" applyNumberFormat="1" applyFont="1" applyFill="1" applyBorder="1" applyAlignment="1" applyProtection="1">
      <alignment horizontal="center" vertical="center"/>
      <protection hidden="1"/>
    </xf>
    <xf numFmtId="0" fontId="42" fillId="5" borderId="47" xfId="0" applyFont="1" applyFill="1" applyBorder="1" applyAlignment="1">
      <alignment horizontal="right" vertical="center"/>
    </xf>
    <xf numFmtId="0" fontId="42" fillId="5" borderId="36" xfId="0" applyFont="1" applyFill="1" applyBorder="1" applyAlignment="1" applyProtection="1">
      <alignment horizontal="left" vertical="center"/>
      <protection hidden="1"/>
    </xf>
    <xf numFmtId="0" fontId="36" fillId="0" borderId="0" xfId="0" applyFont="1" applyAlignment="1">
      <alignment horizontal="center" wrapText="1"/>
    </xf>
    <xf numFmtId="0" fontId="47" fillId="0" borderId="121" xfId="0" applyFont="1" applyBorder="1" applyAlignment="1" applyProtection="1">
      <alignment horizontal="center" vertical="center"/>
      <protection locked="0"/>
    </xf>
    <xf numFmtId="0" fontId="36" fillId="0" borderId="55" xfId="0" applyFont="1" applyBorder="1"/>
    <xf numFmtId="0" fontId="52" fillId="5" borderId="29" xfId="0" applyFont="1" applyFill="1" applyBorder="1" applyAlignment="1">
      <alignment horizontal="left" vertical="center"/>
    </xf>
    <xf numFmtId="0" fontId="52" fillId="5" borderId="17" xfId="0" applyFont="1" applyFill="1" applyBorder="1" applyAlignment="1">
      <alignment horizontal="left" vertical="center"/>
    </xf>
    <xf numFmtId="0" fontId="52" fillId="5" borderId="17" xfId="0" applyFont="1" applyFill="1" applyBorder="1" applyAlignment="1">
      <alignment vertical="center"/>
    </xf>
    <xf numFmtId="164" fontId="52" fillId="5" borderId="2" xfId="0" applyNumberFormat="1" applyFont="1" applyFill="1" applyBorder="1" applyAlignment="1">
      <alignment vertical="center"/>
    </xf>
    <xf numFmtId="164" fontId="52" fillId="5" borderId="29" xfId="0" applyNumberFormat="1" applyFont="1" applyFill="1" applyBorder="1" applyAlignment="1">
      <alignment vertical="center"/>
    </xf>
    <xf numFmtId="164" fontId="52" fillId="5" borderId="8" xfId="0" applyNumberFormat="1" applyFont="1" applyFill="1" applyBorder="1" applyAlignment="1">
      <alignment vertical="center"/>
    </xf>
    <xf numFmtId="164" fontId="52" fillId="5" borderId="14" xfId="0" applyNumberFormat="1" applyFont="1" applyFill="1" applyBorder="1" applyAlignment="1">
      <alignment vertical="center"/>
    </xf>
    <xf numFmtId="164" fontId="52" fillId="5" borderId="11" xfId="0" applyNumberFormat="1" applyFont="1" applyFill="1" applyBorder="1" applyAlignment="1">
      <alignment vertical="center"/>
    </xf>
    <xf numFmtId="2" fontId="52" fillId="5" borderId="29" xfId="0" applyNumberFormat="1" applyFont="1" applyFill="1" applyBorder="1" applyAlignment="1">
      <alignment vertical="center"/>
    </xf>
    <xf numFmtId="2" fontId="52" fillId="5" borderId="8" xfId="0" applyNumberFormat="1" applyFont="1" applyFill="1" applyBorder="1" applyAlignment="1">
      <alignment vertical="center"/>
    </xf>
    <xf numFmtId="2" fontId="52" fillId="5" borderId="14" xfId="0" applyNumberFormat="1" applyFont="1" applyFill="1" applyBorder="1" applyAlignment="1">
      <alignment vertical="center"/>
    </xf>
    <xf numFmtId="165" fontId="52" fillId="5" borderId="29" xfId="3" applyNumberFormat="1" applyFont="1" applyFill="1" applyBorder="1" applyAlignment="1">
      <alignment horizontal="center" vertical="center"/>
    </xf>
    <xf numFmtId="165" fontId="52" fillId="5" borderId="14" xfId="3" applyNumberFormat="1" applyFont="1" applyFill="1" applyBorder="1" applyAlignment="1">
      <alignment horizontal="center" vertical="center"/>
    </xf>
    <xf numFmtId="0" fontId="53" fillId="0" borderId="0" xfId="0" applyFont="1"/>
    <xf numFmtId="0" fontId="41" fillId="0" borderId="0" xfId="0" applyFont="1" applyAlignment="1">
      <alignment horizontal="left"/>
    </xf>
    <xf numFmtId="0" fontId="55" fillId="13" borderId="3" xfId="0" applyFont="1" applyFill="1" applyBorder="1" applyAlignment="1">
      <alignment vertical="center"/>
    </xf>
    <xf numFmtId="0" fontId="55" fillId="13" borderId="2" xfId="0" applyFont="1" applyFill="1" applyBorder="1" applyAlignment="1">
      <alignment vertical="center"/>
    </xf>
    <xf numFmtId="0" fontId="47" fillId="5" borderId="32" xfId="0" applyFont="1" applyFill="1" applyBorder="1" applyAlignment="1">
      <alignment vertical="center" wrapText="1"/>
    </xf>
    <xf numFmtId="0" fontId="56" fillId="0" borderId="46" xfId="0" applyFont="1" applyBorder="1" applyAlignment="1" applyProtection="1">
      <alignment vertical="center" wrapText="1"/>
      <protection hidden="1"/>
    </xf>
    <xf numFmtId="0" fontId="47" fillId="0" borderId="15" xfId="0" applyFont="1" applyBorder="1" applyAlignment="1" applyProtection="1">
      <alignment vertical="center" wrapText="1"/>
      <protection locked="0"/>
    </xf>
    <xf numFmtId="0" fontId="47" fillId="5" borderId="33" xfId="0" applyFont="1" applyFill="1" applyBorder="1" applyAlignment="1">
      <alignment vertical="center" wrapText="1"/>
    </xf>
    <xf numFmtId="0" fontId="56" fillId="0" borderId="47" xfId="0" applyFont="1" applyBorder="1" applyAlignment="1" applyProtection="1">
      <alignment vertical="center" wrapText="1"/>
      <protection hidden="1"/>
    </xf>
    <xf numFmtId="0" fontId="47" fillId="0" borderId="16" xfId="0" applyFont="1" applyBorder="1" applyAlignment="1" applyProtection="1">
      <alignment vertical="center" wrapText="1"/>
      <protection locked="0"/>
    </xf>
    <xf numFmtId="0" fontId="56" fillId="0" borderId="113" xfId="0" applyFont="1" applyBorder="1" applyAlignment="1" applyProtection="1">
      <alignment vertical="center" wrapText="1"/>
      <protection hidden="1"/>
    </xf>
    <xf numFmtId="0" fontId="47" fillId="0" borderId="114" xfId="0" applyFont="1" applyBorder="1" applyAlignment="1" applyProtection="1">
      <alignment vertical="center" wrapText="1"/>
      <protection locked="0"/>
    </xf>
    <xf numFmtId="0" fontId="47" fillId="0" borderId="0" xfId="0" applyFont="1" applyAlignment="1">
      <alignment vertical="center"/>
    </xf>
    <xf numFmtId="0" fontId="56" fillId="0" borderId="0" xfId="0" applyFont="1" applyAlignment="1">
      <alignment vertical="center" wrapText="1"/>
    </xf>
    <xf numFmtId="0" fontId="42" fillId="5" borderId="30" xfId="0" applyFont="1" applyFill="1" applyBorder="1" applyAlignment="1">
      <alignment horizontal="center" vertical="center"/>
    </xf>
    <xf numFmtId="0" fontId="56" fillId="0" borderId="15" xfId="0" applyFont="1" applyBorder="1" applyAlignment="1" applyProtection="1">
      <alignment vertical="center" wrapText="1"/>
      <protection hidden="1"/>
    </xf>
    <xf numFmtId="0" fontId="42" fillId="5" borderId="23" xfId="0" applyFont="1" applyFill="1" applyBorder="1" applyAlignment="1">
      <alignment horizontal="center" vertical="center"/>
    </xf>
    <xf numFmtId="0" fontId="47" fillId="0" borderId="16" xfId="0" applyFont="1" applyBorder="1" applyAlignment="1" applyProtection="1">
      <alignment horizontal="left" vertical="center" wrapText="1"/>
      <protection locked="0"/>
    </xf>
    <xf numFmtId="0" fontId="50" fillId="0" borderId="67" xfId="0" applyFont="1" applyBorder="1"/>
    <xf numFmtId="0" fontId="52" fillId="0" borderId="67" xfId="0" applyFont="1" applyBorder="1" applyAlignment="1">
      <alignment horizontal="left" vertical="center"/>
    </xf>
    <xf numFmtId="0" fontId="52" fillId="0" borderId="67" xfId="0" applyFont="1" applyBorder="1" applyAlignment="1">
      <alignment vertical="center"/>
    </xf>
    <xf numFmtId="164" fontId="52" fillId="0" borderId="67" xfId="0" applyNumberFormat="1" applyFont="1" applyBorder="1" applyAlignment="1">
      <alignment vertical="center"/>
    </xf>
    <xf numFmtId="164" fontId="52" fillId="0" borderId="0" xfId="0" applyNumberFormat="1" applyFont="1" applyAlignment="1">
      <alignment vertical="center"/>
    </xf>
    <xf numFmtId="165" fontId="52" fillId="0" borderId="0" xfId="3" applyNumberFormat="1" applyFont="1" applyBorder="1" applyAlignment="1">
      <alignment vertical="center"/>
    </xf>
    <xf numFmtId="0" fontId="45" fillId="0" borderId="0" xfId="0" applyFont="1"/>
    <xf numFmtId="0" fontId="57" fillId="0" borderId="4" xfId="0" applyFont="1" applyBorder="1"/>
    <xf numFmtId="0" fontId="58" fillId="0" borderId="0" xfId="0" applyFont="1"/>
    <xf numFmtId="0" fontId="59" fillId="0" borderId="69" xfId="0" applyFont="1" applyBorder="1" applyAlignment="1">
      <alignment horizontal="right" vertical="center"/>
    </xf>
    <xf numFmtId="0" fontId="36" fillId="0" borderId="18" xfId="0" applyFont="1" applyBorder="1" applyAlignment="1">
      <alignment vertical="center"/>
    </xf>
    <xf numFmtId="14" fontId="42" fillId="0" borderId="43" xfId="0" applyNumberFormat="1" applyFont="1" applyBorder="1" applyAlignment="1" applyProtection="1">
      <alignment horizontal="center" vertical="center"/>
      <protection locked="0"/>
    </xf>
    <xf numFmtId="14" fontId="42" fillId="0" borderId="24" xfId="0" applyNumberFormat="1" applyFont="1" applyBorder="1" applyAlignment="1" applyProtection="1">
      <alignment horizontal="center" vertical="center"/>
      <protection locked="0"/>
    </xf>
    <xf numFmtId="14" fontId="42" fillId="0" borderId="15" xfId="0" applyNumberFormat="1" applyFont="1" applyBorder="1" applyAlignment="1" applyProtection="1">
      <alignment horizontal="center" vertical="center"/>
      <protection locked="0"/>
    </xf>
    <xf numFmtId="14" fontId="42" fillId="0" borderId="16" xfId="0" applyNumberFormat="1" applyFont="1" applyBorder="1" applyAlignment="1" applyProtection="1">
      <alignment horizontal="center" vertical="center"/>
      <protection locked="0"/>
    </xf>
    <xf numFmtId="0" fontId="36" fillId="0" borderId="101" xfId="0" applyFont="1" applyBorder="1"/>
    <xf numFmtId="0" fontId="42" fillId="0" borderId="66" xfId="0" applyFont="1" applyBorder="1" applyAlignment="1" applyProtection="1">
      <alignment horizontal="center" vertical="center"/>
      <protection locked="0"/>
    </xf>
    <xf numFmtId="0" fontId="42" fillId="0" borderId="37" xfId="0" applyFont="1" applyBorder="1" applyAlignment="1" applyProtection="1">
      <alignment horizontal="center" vertical="center"/>
      <protection locked="0"/>
    </xf>
    <xf numFmtId="49" fontId="42" fillId="0" borderId="24" xfId="0" applyNumberFormat="1" applyFont="1" applyBorder="1" applyAlignment="1" applyProtection="1">
      <alignment horizontal="center" vertical="center"/>
      <protection locked="0"/>
    </xf>
    <xf numFmtId="0" fontId="36" fillId="0" borderId="17" xfId="0" applyFont="1" applyBorder="1" applyAlignment="1">
      <alignment vertical="center"/>
    </xf>
    <xf numFmtId="0" fontId="59" fillId="0" borderId="69" xfId="0" applyFont="1" applyBorder="1" applyAlignment="1">
      <alignment horizontal="right" vertical="center" wrapText="1"/>
    </xf>
    <xf numFmtId="0" fontId="42" fillId="0" borderId="24" xfId="0" applyFont="1" applyBorder="1" applyAlignment="1" applyProtection="1">
      <alignment horizontal="center" vertical="center"/>
      <protection locked="0"/>
    </xf>
    <xf numFmtId="3" fontId="42" fillId="0" borderId="37" xfId="0" applyNumberFormat="1" applyFont="1" applyBorder="1" applyAlignment="1" applyProtection="1">
      <alignment horizontal="center" vertical="center"/>
      <protection locked="0"/>
    </xf>
    <xf numFmtId="3" fontId="42" fillId="0" borderId="39" xfId="0" applyNumberFormat="1" applyFont="1" applyBorder="1" applyAlignment="1" applyProtection="1">
      <alignment horizontal="center" vertical="center"/>
      <protection locked="0"/>
    </xf>
    <xf numFmtId="43" fontId="36" fillId="0" borderId="0" xfId="0" applyNumberFormat="1" applyFont="1" applyAlignment="1">
      <alignment vertical="center"/>
    </xf>
    <xf numFmtId="0" fontId="42" fillId="0" borderId="0" xfId="0" applyFont="1"/>
    <xf numFmtId="0" fontId="42" fillId="0" borderId="59" xfId="0" applyFont="1" applyBorder="1" applyAlignment="1" applyProtection="1">
      <alignment horizontal="center" vertical="center"/>
      <protection locked="0"/>
    </xf>
    <xf numFmtId="0" fontId="42" fillId="0" borderId="0" xfId="0" applyFont="1" applyAlignment="1">
      <alignment vertical="center"/>
    </xf>
    <xf numFmtId="0" fontId="42" fillId="0" borderId="18" xfId="0" applyFont="1" applyBorder="1" applyAlignment="1">
      <alignment vertical="center"/>
    </xf>
    <xf numFmtId="0" fontId="59" fillId="0" borderId="42" xfId="0" applyFont="1" applyBorder="1" applyAlignment="1">
      <alignment horizontal="right" vertical="center"/>
    </xf>
    <xf numFmtId="0" fontId="42" fillId="0" borderId="39" xfId="0" applyFont="1" applyBorder="1" applyAlignment="1" applyProtection="1">
      <alignment horizontal="center" vertical="center"/>
      <protection locked="0"/>
    </xf>
    <xf numFmtId="0" fontId="59" fillId="0" borderId="65" xfId="0" applyFont="1" applyBorder="1" applyAlignment="1">
      <alignment horizontal="right" vertical="center"/>
    </xf>
    <xf numFmtId="3" fontId="42" fillId="5" borderId="19" xfId="0" applyNumberFormat="1" applyFont="1" applyFill="1" applyBorder="1" applyAlignment="1">
      <alignment horizontal="center" vertical="center"/>
    </xf>
    <xf numFmtId="0" fontId="42" fillId="5" borderId="42" xfId="0" applyFont="1" applyFill="1" applyBorder="1" applyAlignment="1">
      <alignment horizontal="center" vertical="center"/>
    </xf>
    <xf numFmtId="0" fontId="36" fillId="0" borderId="17" xfId="0" applyFont="1" applyBorder="1"/>
    <xf numFmtId="9" fontId="42" fillId="0" borderId="42" xfId="3" applyFont="1" applyFill="1" applyBorder="1" applyAlignment="1" applyProtection="1">
      <alignment horizontal="center" vertical="center"/>
      <protection locked="0"/>
    </xf>
    <xf numFmtId="0" fontId="60" fillId="0" borderId="96" xfId="0" applyFont="1" applyBorder="1" applyAlignment="1">
      <alignment horizontal="center" vertical="center" wrapText="1"/>
    </xf>
    <xf numFmtId="0" fontId="59" fillId="0" borderId="69" xfId="0" applyFont="1" applyBorder="1" applyAlignment="1">
      <alignment vertical="center"/>
    </xf>
    <xf numFmtId="0" fontId="61" fillId="5" borderId="19" xfId="0" applyFont="1" applyFill="1" applyBorder="1" applyAlignment="1">
      <alignment horizontal="center"/>
    </xf>
    <xf numFmtId="0" fontId="61" fillId="5" borderId="2" xfId="0" applyFont="1" applyFill="1" applyBorder="1" applyAlignment="1">
      <alignment horizontal="center"/>
    </xf>
    <xf numFmtId="1" fontId="42" fillId="5" borderId="42" xfId="0" applyNumberFormat="1" applyFont="1" applyFill="1" applyBorder="1" applyAlignment="1">
      <alignment horizontal="center" vertical="center"/>
    </xf>
    <xf numFmtId="0" fontId="42" fillId="0" borderId="65" xfId="0" applyFont="1" applyBorder="1" applyAlignment="1" applyProtection="1">
      <alignment horizontal="center" vertical="center"/>
      <protection locked="0"/>
    </xf>
    <xf numFmtId="0" fontId="62" fillId="5" borderId="3" xfId="0" applyFont="1" applyFill="1" applyBorder="1"/>
    <xf numFmtId="0" fontId="62" fillId="5" borderId="17" xfId="0" applyFont="1" applyFill="1" applyBorder="1"/>
    <xf numFmtId="0" fontId="62" fillId="5" borderId="19" xfId="0" applyFont="1" applyFill="1" applyBorder="1"/>
    <xf numFmtId="1" fontId="42" fillId="0" borderId="2" xfId="3" applyNumberFormat="1" applyFont="1" applyFill="1" applyBorder="1" applyAlignment="1" applyProtection="1">
      <alignment horizontal="center" vertical="center"/>
      <protection locked="0"/>
    </xf>
    <xf numFmtId="43" fontId="36" fillId="0" borderId="0" xfId="0" applyNumberFormat="1" applyFont="1"/>
    <xf numFmtId="0" fontId="36" fillId="0" borderId="0" xfId="0" applyFont="1" applyAlignment="1">
      <alignment wrapText="1"/>
    </xf>
    <xf numFmtId="0" fontId="63" fillId="0" borderId="0" xfId="0" applyFont="1"/>
    <xf numFmtId="0" fontId="64" fillId="0" borderId="101" xfId="0" applyFont="1" applyBorder="1"/>
    <xf numFmtId="0" fontId="65" fillId="0" borderId="101" xfId="0" applyFont="1" applyBorder="1"/>
    <xf numFmtId="0" fontId="65" fillId="0" borderId="0" xfId="0" applyFont="1"/>
    <xf numFmtId="0" fontId="66" fillId="5" borderId="77" xfId="0" applyFont="1" applyFill="1" applyBorder="1" applyAlignment="1">
      <alignment horizontal="center" vertical="center" wrapText="1"/>
    </xf>
    <xf numFmtId="0" fontId="66" fillId="5" borderId="109" xfId="0" applyFont="1" applyFill="1" applyBorder="1" applyAlignment="1">
      <alignment horizontal="center" vertical="center" wrapText="1"/>
    </xf>
    <xf numFmtId="0" fontId="66" fillId="5" borderId="78" xfId="0" applyFont="1" applyFill="1" applyBorder="1" applyAlignment="1">
      <alignment horizontal="center" vertical="center" wrapText="1"/>
    </xf>
    <xf numFmtId="0" fontId="66" fillId="5" borderId="74" xfId="0" applyFont="1" applyFill="1" applyBorder="1" applyAlignment="1">
      <alignment horizontal="center" vertical="center" wrapText="1"/>
    </xf>
    <xf numFmtId="0" fontId="66" fillId="5" borderId="76" xfId="0" applyFont="1" applyFill="1" applyBorder="1" applyAlignment="1">
      <alignment horizontal="center" vertical="center" wrapText="1"/>
    </xf>
    <xf numFmtId="0" fontId="66" fillId="5" borderId="72" xfId="0" applyFont="1" applyFill="1" applyBorder="1" applyAlignment="1">
      <alignment horizontal="center" vertical="center" wrapText="1"/>
    </xf>
    <xf numFmtId="0" fontId="41" fillId="5" borderId="78" xfId="0" applyFont="1" applyFill="1" applyBorder="1" applyAlignment="1">
      <alignment horizontal="center" vertical="center" wrapText="1"/>
    </xf>
    <xf numFmtId="0" fontId="47" fillId="5" borderId="15" xfId="0" applyFont="1" applyFill="1" applyBorder="1" applyAlignment="1">
      <alignment horizontal="center" vertical="center"/>
    </xf>
    <xf numFmtId="164" fontId="42" fillId="0" borderId="46" xfId="1" applyNumberFormat="1" applyFont="1" applyFill="1" applyBorder="1" applyAlignment="1" applyProtection="1">
      <alignment horizontal="center" vertical="center"/>
      <protection locked="0" hidden="1"/>
    </xf>
    <xf numFmtId="3" fontId="42" fillId="0" borderId="32" xfId="1" applyNumberFormat="1" applyFont="1" applyFill="1" applyBorder="1" applyAlignment="1" applyProtection="1">
      <alignment horizontal="right" vertical="center"/>
      <protection locked="0" hidden="1"/>
    </xf>
    <xf numFmtId="0" fontId="42" fillId="5" borderId="132" xfId="0" applyFont="1" applyFill="1" applyBorder="1" applyAlignment="1">
      <alignment horizontal="center" vertical="center"/>
    </xf>
    <xf numFmtId="164" fontId="42" fillId="0" borderId="33" xfId="1" applyNumberFormat="1" applyFont="1" applyFill="1" applyBorder="1" applyAlignment="1" applyProtection="1">
      <alignment horizontal="center" vertical="center"/>
      <protection locked="0" hidden="1"/>
    </xf>
    <xf numFmtId="3" fontId="42" fillId="0" borderId="92" xfId="4" applyNumberFormat="1" applyFont="1" applyFill="1" applyBorder="1" applyAlignment="1" applyProtection="1">
      <alignment horizontal="right" vertical="center"/>
      <protection locked="0" hidden="1"/>
    </xf>
    <xf numFmtId="166" fontId="42" fillId="5" borderId="46" xfId="4" applyNumberFormat="1" applyFont="1" applyFill="1" applyBorder="1" applyAlignment="1">
      <alignment horizontal="center" vertical="center"/>
    </xf>
    <xf numFmtId="0" fontId="42" fillId="5" borderId="105" xfId="0" applyFont="1" applyFill="1" applyBorder="1" applyAlignment="1">
      <alignment horizontal="center" vertical="center"/>
    </xf>
    <xf numFmtId="166" fontId="42" fillId="5" borderId="66" xfId="4" applyNumberFormat="1" applyFont="1" applyFill="1" applyBorder="1" applyAlignment="1">
      <alignment horizontal="center" vertical="center"/>
    </xf>
    <xf numFmtId="0" fontId="51" fillId="0" borderId="97" xfId="0" applyFont="1" applyBorder="1" applyAlignment="1" applyProtection="1">
      <alignment horizontal="left" vertical="center" wrapText="1"/>
      <protection hidden="1"/>
    </xf>
    <xf numFmtId="0" fontId="47" fillId="0" borderId="16" xfId="0" applyFont="1" applyBorder="1" applyAlignment="1" applyProtection="1">
      <alignment horizontal="center" vertical="center"/>
      <protection locked="0"/>
    </xf>
    <xf numFmtId="0" fontId="42" fillId="0" borderId="13" xfId="0" applyFont="1" applyBorder="1" applyAlignment="1" applyProtection="1">
      <alignment horizontal="center" vertical="center"/>
      <protection locked="0"/>
    </xf>
    <xf numFmtId="3" fontId="42" fillId="0" borderId="33" xfId="4" applyNumberFormat="1" applyFont="1" applyFill="1" applyBorder="1" applyAlignment="1" applyProtection="1">
      <alignment horizontal="right" vertical="center"/>
      <protection locked="0" hidden="1"/>
    </xf>
    <xf numFmtId="0" fontId="42" fillId="5" borderId="12" xfId="0" applyFont="1" applyFill="1" applyBorder="1" applyAlignment="1">
      <alignment horizontal="center" vertical="center"/>
    </xf>
    <xf numFmtId="0" fontId="42" fillId="5" borderId="9" xfId="0" applyFont="1" applyFill="1" applyBorder="1" applyAlignment="1">
      <alignment horizontal="center" vertical="center"/>
    </xf>
    <xf numFmtId="0" fontId="47" fillId="5" borderId="24" xfId="0" applyFont="1" applyFill="1" applyBorder="1" applyAlignment="1">
      <alignment horizontal="center" vertical="center"/>
    </xf>
    <xf numFmtId="3" fontId="42" fillId="0" borderId="57" xfId="1" applyNumberFormat="1" applyFont="1" applyFill="1" applyBorder="1" applyAlignment="1" applyProtection="1">
      <alignment horizontal="right" vertical="center"/>
      <protection locked="0" hidden="1"/>
    </xf>
    <xf numFmtId="0" fontId="42" fillId="0" borderId="28" xfId="0" applyFont="1" applyBorder="1" applyAlignment="1" applyProtection="1">
      <alignment horizontal="center" vertical="center"/>
      <protection locked="0"/>
    </xf>
    <xf numFmtId="164" fontId="42" fillId="0" borderId="131" xfId="1" applyNumberFormat="1" applyFont="1" applyFill="1" applyBorder="1" applyAlignment="1" applyProtection="1">
      <alignment horizontal="center" vertical="center"/>
      <protection locked="0" hidden="1"/>
    </xf>
    <xf numFmtId="3" fontId="42" fillId="0" borderId="131" xfId="4" applyNumberFormat="1" applyFont="1" applyFill="1" applyBorder="1" applyAlignment="1" applyProtection="1">
      <alignment horizontal="right" vertical="center"/>
      <protection locked="0" hidden="1"/>
    </xf>
    <xf numFmtId="0" fontId="42" fillId="5" borderId="56" xfId="0" applyFont="1" applyFill="1" applyBorder="1" applyAlignment="1">
      <alignment horizontal="center" vertical="center"/>
    </xf>
    <xf numFmtId="0" fontId="42" fillId="5" borderId="89" xfId="0" applyFont="1" applyFill="1" applyBorder="1" applyAlignment="1">
      <alignment horizontal="center" vertical="center"/>
    </xf>
    <xf numFmtId="166" fontId="42" fillId="5" borderId="39" xfId="0" applyNumberFormat="1" applyFont="1" applyFill="1" applyBorder="1" applyAlignment="1">
      <alignment horizontal="right" vertical="center"/>
    </xf>
    <xf numFmtId="0" fontId="67" fillId="5" borderId="3" xfId="0" applyFont="1" applyFill="1" applyBorder="1" applyAlignment="1">
      <alignment horizontal="center" vertical="center" wrapText="1"/>
    </xf>
    <xf numFmtId="164" fontId="67" fillId="5" borderId="29" xfId="0" applyNumberFormat="1" applyFont="1" applyFill="1" applyBorder="1" applyAlignment="1">
      <alignment horizontal="center" vertical="center" wrapText="1"/>
    </xf>
    <xf numFmtId="0" fontId="36" fillId="5" borderId="31" xfId="0" applyFont="1" applyFill="1" applyBorder="1"/>
    <xf numFmtId="0" fontId="36" fillId="5" borderId="11" xfId="0" applyFont="1" applyFill="1" applyBorder="1"/>
    <xf numFmtId="164" fontId="67" fillId="5" borderId="3" xfId="0" applyNumberFormat="1" applyFont="1" applyFill="1" applyBorder="1" applyAlignment="1">
      <alignment horizontal="center" vertical="center" wrapText="1"/>
    </xf>
    <xf numFmtId="0" fontId="36" fillId="5" borderId="17" xfId="0" applyFont="1" applyFill="1" applyBorder="1"/>
    <xf numFmtId="166" fontId="59" fillId="5" borderId="19" xfId="0" applyNumberFormat="1" applyFont="1" applyFill="1" applyBorder="1" applyAlignment="1">
      <alignment horizontal="left" vertical="center"/>
    </xf>
    <xf numFmtId="0" fontId="47" fillId="0" borderId="0" xfId="0" applyFont="1" applyAlignment="1">
      <alignment horizontal="left" vertical="center"/>
    </xf>
    <xf numFmtId="0" fontId="68" fillId="0" borderId="0" xfId="0" applyFont="1" applyAlignment="1">
      <alignment vertical="center" wrapText="1"/>
    </xf>
    <xf numFmtId="0" fontId="42" fillId="0" borderId="0" xfId="0" applyFont="1" applyAlignment="1">
      <alignment vertical="center" wrapText="1"/>
    </xf>
    <xf numFmtId="164" fontId="42" fillId="0" borderId="0" xfId="0" applyNumberFormat="1" applyFont="1" applyAlignment="1">
      <alignment horizontal="left" vertical="center" wrapText="1"/>
    </xf>
    <xf numFmtId="0" fontId="69" fillId="0" borderId="0" xfId="0" applyFont="1"/>
    <xf numFmtId="0" fontId="42" fillId="0" borderId="0" xfId="0" applyFont="1" applyAlignment="1">
      <alignment wrapText="1"/>
    </xf>
    <xf numFmtId="0" fontId="41" fillId="0" borderId="0" xfId="0" applyFont="1" applyAlignment="1">
      <alignment horizontal="left" vertical="center"/>
    </xf>
    <xf numFmtId="0" fontId="59" fillId="5" borderId="76" xfId="0" applyFont="1" applyFill="1" applyBorder="1" applyAlignment="1">
      <alignment horizontal="center" vertical="center" wrapText="1"/>
    </xf>
    <xf numFmtId="3" fontId="42" fillId="0" borderId="25" xfId="1" applyNumberFormat="1" applyFont="1" applyFill="1" applyBorder="1" applyAlignment="1" applyProtection="1">
      <alignment horizontal="center" vertical="center"/>
      <protection locked="0" hidden="1"/>
    </xf>
    <xf numFmtId="3" fontId="42" fillId="0" borderId="25" xfId="1" applyNumberFormat="1" applyFont="1" applyFill="1" applyBorder="1" applyAlignment="1" applyProtection="1">
      <alignment horizontal="center" vertical="center" wrapText="1"/>
      <protection locked="0" hidden="1"/>
    </xf>
    <xf numFmtId="0" fontId="42" fillId="0" borderId="25" xfId="1" applyNumberFormat="1" applyFont="1" applyFill="1" applyBorder="1" applyAlignment="1" applyProtection="1">
      <alignment horizontal="center" vertical="center"/>
      <protection locked="0" hidden="1"/>
    </xf>
    <xf numFmtId="0" fontId="42" fillId="5" borderId="135" xfId="0" applyFont="1" applyFill="1" applyBorder="1" applyAlignment="1">
      <alignment horizontal="center" vertical="center"/>
    </xf>
    <xf numFmtId="0" fontId="42" fillId="0" borderId="134" xfId="4" applyNumberFormat="1" applyFont="1" applyFill="1" applyBorder="1" applyAlignment="1" applyProtection="1">
      <alignment horizontal="center" vertical="center"/>
      <protection locked="0" hidden="1"/>
    </xf>
    <xf numFmtId="0" fontId="44" fillId="0" borderId="0" xfId="0" applyFont="1" applyAlignment="1">
      <alignment horizontal="left" vertical="top"/>
    </xf>
    <xf numFmtId="0" fontId="67" fillId="0" borderId="0" xfId="0" applyFont="1" applyAlignment="1">
      <alignment horizontal="right" vertical="center" wrapText="1"/>
    </xf>
    <xf numFmtId="166" fontId="59" fillId="0" borderId="0" xfId="0" applyNumberFormat="1" applyFont="1" applyAlignment="1">
      <alignment horizontal="left" vertical="center"/>
    </xf>
    <xf numFmtId="0" fontId="47" fillId="0" borderId="4" xfId="0" applyFont="1" applyBorder="1" applyAlignment="1">
      <alignment horizontal="left" vertical="center"/>
    </xf>
    <xf numFmtId="0" fontId="68" fillId="0" borderId="4" xfId="0" applyFont="1" applyBorder="1" applyAlignment="1">
      <alignment vertical="center" wrapText="1"/>
    </xf>
    <xf numFmtId="0" fontId="42" fillId="0" borderId="4" xfId="0" applyFont="1" applyBorder="1" applyAlignment="1">
      <alignment vertical="center" wrapText="1"/>
    </xf>
    <xf numFmtId="164" fontId="42" fillId="0" borderId="4" xfId="0" applyNumberFormat="1" applyFont="1" applyBorder="1" applyAlignment="1">
      <alignment horizontal="left" vertical="center" wrapText="1"/>
    </xf>
    <xf numFmtId="0" fontId="69" fillId="0" borderId="4" xfId="0" applyFont="1" applyBorder="1"/>
    <xf numFmtId="0" fontId="67" fillId="0" borderId="4" xfId="0" applyFont="1" applyBorder="1" applyAlignment="1">
      <alignment horizontal="right" vertical="center" wrapText="1"/>
    </xf>
    <xf numFmtId="166" fontId="59" fillId="0" borderId="4" xfId="0" applyNumberFormat="1" applyFont="1" applyBorder="1" applyAlignment="1">
      <alignment horizontal="left" vertical="center"/>
    </xf>
    <xf numFmtId="0" fontId="41" fillId="5" borderId="76" xfId="0" applyFont="1" applyFill="1" applyBorder="1" applyAlignment="1">
      <alignment horizontal="center" vertical="center" wrapText="1"/>
    </xf>
    <xf numFmtId="0" fontId="41" fillId="5" borderId="73" xfId="0" applyFont="1" applyFill="1" applyBorder="1" applyAlignment="1">
      <alignment horizontal="center" vertical="center" wrapText="1"/>
    </xf>
    <xf numFmtId="0" fontId="59" fillId="5" borderId="76" xfId="1" applyNumberFormat="1" applyFont="1" applyFill="1" applyBorder="1" applyAlignment="1">
      <alignment horizontal="center" vertical="center" wrapText="1"/>
    </xf>
    <xf numFmtId="0" fontId="42" fillId="0" borderId="9" xfId="0" applyFont="1" applyBorder="1" applyAlignment="1" applyProtection="1">
      <alignment horizontal="center" vertical="center" wrapText="1"/>
      <protection locked="0"/>
    </xf>
    <xf numFmtId="3" fontId="47" fillId="0" borderId="12" xfId="0" applyNumberFormat="1" applyFont="1" applyBorder="1" applyAlignment="1" applyProtection="1">
      <alignment horizontal="center" vertical="center" wrapText="1"/>
      <protection locked="0"/>
    </xf>
    <xf numFmtId="0" fontId="42" fillId="0" borderId="91" xfId="0" applyFont="1" applyBorder="1" applyAlignment="1" applyProtection="1">
      <alignment horizontal="center" vertical="center" wrapText="1"/>
      <protection locked="0"/>
    </xf>
    <xf numFmtId="0" fontId="51" fillId="0" borderId="97" xfId="0" applyFont="1" applyBorder="1" applyAlignment="1" applyProtection="1">
      <alignment vertical="center" wrapText="1"/>
      <protection hidden="1"/>
    </xf>
    <xf numFmtId="0" fontId="47" fillId="5" borderId="16" xfId="0" applyFont="1" applyFill="1" applyBorder="1" applyAlignment="1">
      <alignment horizontal="center" vertical="center"/>
    </xf>
    <xf numFmtId="0" fontId="42" fillId="0" borderId="10" xfId="0" applyFont="1" applyBorder="1" applyAlignment="1" applyProtection="1">
      <alignment horizontal="center" vertical="center" wrapText="1"/>
      <protection locked="0"/>
    </xf>
    <xf numFmtId="0" fontId="42" fillId="0" borderId="6" xfId="0" applyFont="1" applyBorder="1" applyAlignment="1" applyProtection="1">
      <alignment horizontal="center" vertical="center" wrapText="1"/>
      <protection locked="0"/>
    </xf>
    <xf numFmtId="0" fontId="42" fillId="0" borderId="35" xfId="0" applyFont="1" applyBorder="1" applyAlignment="1" applyProtection="1">
      <alignment horizontal="center" vertical="center" wrapText="1"/>
      <protection locked="0"/>
    </xf>
    <xf numFmtId="3" fontId="47" fillId="0" borderId="119" xfId="0" applyNumberFormat="1" applyFont="1" applyBorder="1" applyAlignment="1" applyProtection="1">
      <alignment horizontal="center" vertical="center" wrapText="1"/>
      <protection locked="0"/>
    </xf>
    <xf numFmtId="0" fontId="42" fillId="0" borderId="27" xfId="0" applyFont="1" applyBorder="1" applyAlignment="1" applyProtection="1">
      <alignment horizontal="center" vertical="center" wrapText="1"/>
      <protection locked="0"/>
    </xf>
    <xf numFmtId="0" fontId="47" fillId="0" borderId="0" xfId="0" applyFont="1" applyAlignment="1">
      <alignment horizontal="center" vertical="center"/>
    </xf>
    <xf numFmtId="0" fontId="42" fillId="0" borderId="0" xfId="0" applyFont="1" applyAlignment="1" applyProtection="1">
      <alignment horizontal="center" vertical="center" wrapText="1"/>
      <protection locked="0"/>
    </xf>
    <xf numFmtId="3" fontId="47" fillId="0" borderId="17" xfId="0" applyNumberFormat="1" applyFont="1" applyBorder="1" applyAlignment="1" applyProtection="1">
      <alignment horizontal="center" vertical="center" wrapText="1"/>
      <protection locked="0" hidden="1"/>
    </xf>
    <xf numFmtId="0" fontId="42" fillId="0" borderId="0" xfId="0" applyFont="1" applyAlignment="1">
      <alignment horizontal="center" vertical="center" wrapText="1"/>
    </xf>
    <xf numFmtId="0" fontId="41" fillId="0" borderId="0" xfId="0" applyFont="1" applyAlignment="1">
      <alignment horizontal="center" vertical="center" wrapText="1"/>
    </xf>
    <xf numFmtId="0" fontId="47" fillId="0" borderId="0" xfId="0" applyFont="1" applyAlignment="1">
      <alignment horizontal="center" vertical="center" wrapText="1"/>
    </xf>
    <xf numFmtId="166" fontId="42" fillId="0" borderId="0" xfId="0" applyNumberFormat="1" applyFont="1" applyAlignment="1">
      <alignment horizontal="center" vertical="center"/>
    </xf>
    <xf numFmtId="0" fontId="51" fillId="0" borderId="0" xfId="0" applyFont="1" applyAlignment="1" applyProtection="1">
      <alignment wrapText="1"/>
      <protection hidden="1"/>
    </xf>
    <xf numFmtId="0" fontId="59" fillId="5" borderId="74" xfId="1" applyNumberFormat="1" applyFont="1" applyFill="1" applyBorder="1" applyAlignment="1">
      <alignment horizontal="center" vertical="center" wrapText="1"/>
    </xf>
    <xf numFmtId="0" fontId="59" fillId="5" borderId="75" xfId="1" applyNumberFormat="1" applyFont="1" applyFill="1" applyBorder="1" applyAlignment="1">
      <alignment horizontal="center" vertical="center" wrapText="1"/>
    </xf>
    <xf numFmtId="0" fontId="41" fillId="5" borderId="15" xfId="0" applyFont="1" applyFill="1" applyBorder="1" applyAlignment="1">
      <alignment horizontal="center" vertical="center" wrapText="1"/>
    </xf>
    <xf numFmtId="0" fontId="47" fillId="0" borderId="133" xfId="0" applyFont="1" applyBorder="1" applyAlignment="1" applyProtection="1">
      <alignment horizontal="center" vertical="center" wrapText="1"/>
      <protection locked="0"/>
    </xf>
    <xf numFmtId="0" fontId="41" fillId="5" borderId="16" xfId="0" applyFont="1" applyFill="1" applyBorder="1" applyAlignment="1">
      <alignment horizontal="center" vertical="center" wrapText="1"/>
    </xf>
    <xf numFmtId="0" fontId="47" fillId="0" borderId="23" xfId="0" applyFont="1" applyBorder="1" applyAlignment="1" applyProtection="1">
      <alignment horizontal="center" vertical="center" wrapText="1"/>
      <protection locked="0"/>
    </xf>
    <xf numFmtId="0" fontId="41" fillId="5" borderId="24" xfId="0" applyFont="1" applyFill="1" applyBorder="1" applyAlignment="1">
      <alignment horizontal="center" vertical="center" wrapText="1"/>
    </xf>
    <xf numFmtId="0" fontId="47" fillId="0" borderId="26" xfId="0" applyFont="1" applyBorder="1" applyAlignment="1" applyProtection="1">
      <alignment horizontal="center" vertical="center" wrapText="1"/>
      <protection locked="0"/>
    </xf>
    <xf numFmtId="0" fontId="42" fillId="0" borderId="0" xfId="0" applyFont="1" applyAlignment="1">
      <alignment horizontal="left" vertical="center" wrapText="1"/>
    </xf>
    <xf numFmtId="164" fontId="42" fillId="0" borderId="0" xfId="1" applyNumberFormat="1" applyFont="1" applyFill="1" applyBorder="1" applyAlignment="1">
      <alignment horizontal="left" vertical="center"/>
    </xf>
    <xf numFmtId="0" fontId="41" fillId="5" borderId="75" xfId="0" applyFont="1" applyFill="1" applyBorder="1" applyAlignment="1">
      <alignment horizontal="center" vertical="center" wrapText="1"/>
    </xf>
    <xf numFmtId="0" fontId="41" fillId="5" borderId="109" xfId="0" applyFont="1" applyFill="1" applyBorder="1" applyAlignment="1">
      <alignment horizontal="center" vertical="center" wrapText="1"/>
    </xf>
    <xf numFmtId="0" fontId="41" fillId="5" borderId="74" xfId="0" applyFont="1" applyFill="1" applyBorder="1" applyAlignment="1">
      <alignment horizontal="center" vertical="center" wrapText="1"/>
    </xf>
    <xf numFmtId="166" fontId="42" fillId="0" borderId="7" xfId="4" applyNumberFormat="1" applyFont="1" applyFill="1" applyBorder="1" applyAlignment="1" applyProtection="1">
      <alignment horizontal="center" vertical="center"/>
      <protection locked="0"/>
    </xf>
    <xf numFmtId="166" fontId="42" fillId="5" borderId="92" xfId="4" applyNumberFormat="1" applyFont="1" applyFill="1" applyBorder="1" applyAlignment="1">
      <alignment horizontal="center" vertical="center"/>
    </xf>
    <xf numFmtId="166" fontId="42" fillId="0" borderId="30" xfId="4" applyNumberFormat="1" applyFont="1" applyFill="1" applyBorder="1" applyAlignment="1" applyProtection="1">
      <alignment horizontal="center" vertical="center"/>
      <protection locked="0"/>
    </xf>
    <xf numFmtId="0" fontId="42" fillId="5" borderId="66" xfId="0" applyFont="1" applyFill="1" applyBorder="1" applyAlignment="1">
      <alignment horizontal="center" vertical="center"/>
    </xf>
    <xf numFmtId="166" fontId="42" fillId="0" borderId="6" xfId="4" applyNumberFormat="1" applyFont="1" applyFill="1" applyBorder="1" applyAlignment="1" applyProtection="1">
      <alignment horizontal="center" vertical="center"/>
      <protection locked="0"/>
    </xf>
    <xf numFmtId="166" fontId="42" fillId="5" borderId="33" xfId="4" applyNumberFormat="1" applyFont="1" applyFill="1" applyBorder="1" applyAlignment="1">
      <alignment horizontal="center" vertical="center"/>
    </xf>
    <xf numFmtId="166" fontId="42" fillId="5" borderId="6" xfId="4" applyNumberFormat="1" applyFont="1" applyFill="1" applyBorder="1" applyAlignment="1">
      <alignment horizontal="center" vertical="center"/>
    </xf>
    <xf numFmtId="0" fontId="42" fillId="5" borderId="37" xfId="0" applyFont="1" applyFill="1" applyBorder="1" applyAlignment="1">
      <alignment horizontal="center" vertical="center"/>
    </xf>
    <xf numFmtId="166" fontId="42" fillId="5" borderId="27" xfId="4" applyNumberFormat="1" applyFont="1" applyFill="1" applyBorder="1" applyAlignment="1">
      <alignment horizontal="center" vertical="center"/>
    </xf>
    <xf numFmtId="166" fontId="42" fillId="5" borderId="26" xfId="4" applyNumberFormat="1" applyFont="1" applyFill="1" applyBorder="1" applyAlignment="1">
      <alignment horizontal="center" vertical="center"/>
    </xf>
    <xf numFmtId="0" fontId="42" fillId="5" borderId="39" xfId="0" applyFont="1" applyFill="1" applyBorder="1" applyAlignment="1">
      <alignment horizontal="center" vertical="center"/>
    </xf>
    <xf numFmtId="166" fontId="42" fillId="5" borderId="34" xfId="4" applyNumberFormat="1" applyFont="1" applyFill="1" applyBorder="1" applyAlignment="1">
      <alignment horizontal="center" vertical="center"/>
    </xf>
    <xf numFmtId="0" fontId="64" fillId="0" borderId="0" xfId="0" applyFont="1"/>
    <xf numFmtId="0" fontId="59" fillId="5" borderId="71" xfId="0" applyFont="1" applyFill="1" applyBorder="1" applyAlignment="1">
      <alignment horizontal="center" vertical="center" wrapText="1"/>
    </xf>
    <xf numFmtId="0" fontId="59" fillId="5" borderId="74" xfId="0" applyFont="1" applyFill="1" applyBorder="1" applyAlignment="1">
      <alignment horizontal="center" vertical="center" wrapText="1"/>
    </xf>
    <xf numFmtId="0" fontId="59" fillId="5" borderId="73" xfId="0" applyFont="1" applyFill="1" applyBorder="1" applyAlignment="1">
      <alignment horizontal="center" vertical="center" wrapText="1"/>
    </xf>
    <xf numFmtId="0" fontId="42" fillId="0" borderId="40" xfId="0" applyFont="1" applyBorder="1" applyAlignment="1" applyProtection="1">
      <alignment horizontal="center" vertical="center"/>
      <protection locked="0"/>
    </xf>
    <xf numFmtId="0" fontId="42" fillId="0" borderId="56" xfId="0" applyFont="1" applyBorder="1" applyAlignment="1" applyProtection="1">
      <alignment horizontal="center" vertical="center"/>
      <protection locked="0"/>
    </xf>
    <xf numFmtId="14" fontId="42" fillId="0" borderId="65" xfId="0" applyNumberFormat="1" applyFont="1" applyBorder="1" applyAlignment="1" applyProtection="1">
      <alignment horizontal="center" vertical="center"/>
      <protection locked="0"/>
    </xf>
    <xf numFmtId="0" fontId="42" fillId="0" borderId="4" xfId="0" applyFont="1" applyBorder="1"/>
    <xf numFmtId="166" fontId="42" fillId="0" borderId="0" xfId="4" applyNumberFormat="1" applyFont="1"/>
    <xf numFmtId="0" fontId="70" fillId="5" borderId="90" xfId="0" applyFont="1" applyFill="1" applyBorder="1" applyAlignment="1">
      <alignment vertical="center" wrapText="1"/>
    </xf>
    <xf numFmtId="0" fontId="42" fillId="0" borderId="9" xfId="0" applyFont="1" applyBorder="1" applyAlignment="1" applyProtection="1">
      <alignment horizontal="center" vertical="center"/>
      <protection locked="0"/>
    </xf>
    <xf numFmtId="0" fontId="42" fillId="0" borderId="32" xfId="0" applyFont="1" applyBorder="1" applyAlignment="1" applyProtection="1">
      <alignment vertical="center"/>
      <protection locked="0"/>
    </xf>
    <xf numFmtId="0" fontId="42" fillId="5" borderId="9" xfId="0" applyFont="1" applyFill="1" applyBorder="1" applyAlignment="1">
      <alignment vertical="center"/>
    </xf>
    <xf numFmtId="0" fontId="42" fillId="0" borderId="63" xfId="0" applyFont="1" applyBorder="1" applyAlignment="1" applyProtection="1">
      <alignment vertical="center"/>
      <protection locked="0"/>
    </xf>
    <xf numFmtId="0" fontId="42" fillId="5" borderId="66" xfId="0" applyFont="1" applyFill="1" applyBorder="1" applyAlignment="1">
      <alignment vertical="center"/>
    </xf>
    <xf numFmtId="0" fontId="70" fillId="5" borderId="39" xfId="0" applyFont="1" applyFill="1" applyBorder="1" applyAlignment="1">
      <alignment vertical="center" wrapText="1"/>
    </xf>
    <xf numFmtId="0" fontId="42" fillId="0" borderId="34" xfId="0" applyFont="1" applyBorder="1" applyAlignment="1" applyProtection="1">
      <alignment vertical="center"/>
      <protection locked="0"/>
    </xf>
    <xf numFmtId="0" fontId="42" fillId="5" borderId="35" xfId="0" applyFont="1" applyFill="1" applyBorder="1" applyAlignment="1">
      <alignment vertical="center"/>
    </xf>
    <xf numFmtId="0" fontId="42" fillId="5" borderId="38" xfId="0" applyFont="1" applyFill="1" applyBorder="1" applyAlignment="1">
      <alignment vertical="center"/>
    </xf>
    <xf numFmtId="0" fontId="42" fillId="5" borderId="39" xfId="0" applyFont="1" applyFill="1" applyBorder="1" applyAlignment="1">
      <alignment vertical="center"/>
    </xf>
    <xf numFmtId="0" fontId="70" fillId="5" borderId="66" xfId="0" applyFont="1" applyFill="1" applyBorder="1" applyAlignment="1">
      <alignment vertical="center" wrapText="1"/>
    </xf>
    <xf numFmtId="0" fontId="42" fillId="0" borderId="102" xfId="0" applyFont="1" applyBorder="1" applyAlignment="1" applyProtection="1">
      <alignment horizontal="center" vertical="center"/>
      <protection locked="0"/>
    </xf>
    <xf numFmtId="0" fontId="70" fillId="5" borderId="42" xfId="0" applyFont="1" applyFill="1" applyBorder="1" applyAlignment="1">
      <alignment vertical="center" wrapText="1"/>
    </xf>
    <xf numFmtId="0" fontId="42" fillId="0" borderId="89" xfId="0" applyFont="1" applyBorder="1" applyAlignment="1" applyProtection="1">
      <alignment horizontal="center" vertical="center"/>
      <protection locked="0"/>
    </xf>
    <xf numFmtId="43" fontId="42" fillId="0" borderId="0" xfId="0" applyNumberFormat="1" applyFont="1"/>
    <xf numFmtId="0" fontId="70" fillId="5" borderId="59" xfId="0" applyFont="1" applyFill="1" applyBorder="1" applyAlignment="1">
      <alignment vertical="center" wrapText="1"/>
    </xf>
    <xf numFmtId="0" fontId="42" fillId="0" borderId="103" xfId="0" applyFont="1" applyBorder="1" applyAlignment="1" applyProtection="1">
      <alignment vertical="center"/>
      <protection locked="0"/>
    </xf>
    <xf numFmtId="0" fontId="42" fillId="5" borderId="102" xfId="0" applyFont="1" applyFill="1" applyBorder="1" applyAlignment="1">
      <alignment vertical="center"/>
    </xf>
    <xf numFmtId="0" fontId="42" fillId="0" borderId="58" xfId="0" applyFont="1" applyBorder="1" applyAlignment="1" applyProtection="1">
      <alignment vertical="center"/>
      <protection locked="0"/>
    </xf>
    <xf numFmtId="0" fontId="42" fillId="5" borderId="59" xfId="0" applyFont="1" applyFill="1" applyBorder="1" applyAlignment="1">
      <alignment vertical="center"/>
    </xf>
    <xf numFmtId="0" fontId="70" fillId="5" borderId="84" xfId="0" applyFont="1" applyFill="1" applyBorder="1" applyAlignment="1">
      <alignment vertical="center" wrapText="1"/>
    </xf>
    <xf numFmtId="0" fontId="42" fillId="0" borderId="110" xfId="0" applyFont="1" applyBorder="1" applyAlignment="1" applyProtection="1">
      <alignment horizontal="center" vertical="center"/>
      <protection locked="0"/>
    </xf>
    <xf numFmtId="0" fontId="42" fillId="0" borderId="88" xfId="0" applyFont="1" applyBorder="1" applyAlignment="1" applyProtection="1">
      <alignment vertical="center"/>
      <protection locked="0"/>
    </xf>
    <xf numFmtId="0" fontId="42" fillId="5" borderId="87" xfId="0" applyFont="1" applyFill="1" applyBorder="1" applyAlignment="1">
      <alignment vertical="center"/>
    </xf>
    <xf numFmtId="0" fontId="42" fillId="5" borderId="83" xfId="0" applyFont="1" applyFill="1" applyBorder="1" applyAlignment="1">
      <alignment vertical="center"/>
    </xf>
    <xf numFmtId="0" fontId="42" fillId="5" borderId="84" xfId="0" applyFont="1" applyFill="1" applyBorder="1" applyAlignment="1">
      <alignment vertical="center"/>
    </xf>
    <xf numFmtId="0" fontId="42" fillId="5" borderId="9" xfId="0" applyFont="1" applyFill="1" applyBorder="1" applyAlignment="1">
      <alignment horizontal="left" vertical="center"/>
    </xf>
    <xf numFmtId="9" fontId="42" fillId="5" borderId="66" xfId="3" applyFont="1" applyFill="1" applyBorder="1" applyAlignment="1">
      <alignment horizontal="left" vertical="center"/>
    </xf>
    <xf numFmtId="0" fontId="42" fillId="5" borderId="35" xfId="0" applyFont="1" applyFill="1" applyBorder="1" applyAlignment="1">
      <alignment horizontal="left" vertical="center"/>
    </xf>
    <xf numFmtId="9" fontId="42" fillId="5" borderId="39" xfId="3" applyFont="1" applyFill="1" applyBorder="1" applyAlignment="1">
      <alignment horizontal="left" vertical="center"/>
    </xf>
    <xf numFmtId="0" fontId="42" fillId="0" borderId="57" xfId="0" applyFont="1" applyBorder="1" applyAlignment="1" applyProtection="1">
      <alignment vertical="center"/>
      <protection locked="0"/>
    </xf>
    <xf numFmtId="3" fontId="42" fillId="0" borderId="105" xfId="0" applyNumberFormat="1" applyFont="1" applyBorder="1" applyAlignment="1" applyProtection="1">
      <alignment horizontal="center" vertical="center"/>
      <protection locked="0"/>
    </xf>
    <xf numFmtId="0" fontId="42" fillId="0" borderId="92" xfId="0" applyFont="1" applyBorder="1" applyAlignment="1" applyProtection="1">
      <alignment vertical="center"/>
      <protection locked="0"/>
    </xf>
    <xf numFmtId="0" fontId="42" fillId="5" borderId="105" xfId="0" applyFont="1" applyFill="1" applyBorder="1" applyAlignment="1">
      <alignment horizontal="left" vertical="center"/>
    </xf>
    <xf numFmtId="0" fontId="42" fillId="0" borderId="106" xfId="0" applyFont="1" applyBorder="1" applyAlignment="1" applyProtection="1">
      <alignment vertical="center"/>
      <protection locked="0"/>
    </xf>
    <xf numFmtId="9" fontId="42" fillId="5" borderId="90" xfId="3" applyFont="1" applyFill="1" applyBorder="1" applyAlignment="1">
      <alignment horizontal="left" vertical="center"/>
    </xf>
    <xf numFmtId="3" fontId="42" fillId="0" borderId="35" xfId="0" applyNumberFormat="1" applyFont="1" applyBorder="1" applyAlignment="1" applyProtection="1">
      <alignment horizontal="center" vertical="center"/>
      <protection locked="0"/>
    </xf>
    <xf numFmtId="0" fontId="42" fillId="5" borderId="89" xfId="0" applyFont="1" applyFill="1" applyBorder="1" applyAlignment="1">
      <alignment horizontal="left" vertical="center"/>
    </xf>
    <xf numFmtId="9" fontId="42" fillId="5" borderId="42" xfId="3" applyFont="1" applyFill="1" applyBorder="1" applyAlignment="1">
      <alignment horizontal="left" vertical="center"/>
    </xf>
    <xf numFmtId="0" fontId="51" fillId="0" borderId="0" xfId="0" applyFont="1"/>
    <xf numFmtId="0" fontId="42" fillId="5" borderId="46" xfId="0" applyFont="1" applyFill="1" applyBorder="1"/>
    <xf numFmtId="0" fontId="42" fillId="5" borderId="63" xfId="0" applyFont="1" applyFill="1" applyBorder="1"/>
    <xf numFmtId="0" fontId="42" fillId="0" borderId="63" xfId="0" applyFont="1" applyBorder="1" applyProtection="1">
      <protection locked="0"/>
    </xf>
    <xf numFmtId="0" fontId="42" fillId="5" borderId="66" xfId="0" applyFont="1" applyFill="1" applyBorder="1"/>
    <xf numFmtId="0" fontId="42" fillId="5" borderId="36" xfId="0" applyFont="1" applyFill="1" applyBorder="1"/>
    <xf numFmtId="0" fontId="42" fillId="0" borderId="47" xfId="0" applyFont="1" applyBorder="1" applyProtection="1">
      <protection locked="0"/>
    </xf>
    <xf numFmtId="168" fontId="42" fillId="5" borderId="47" xfId="0" applyNumberFormat="1" applyFont="1" applyFill="1" applyBorder="1"/>
    <xf numFmtId="0" fontId="42" fillId="5" borderId="45" xfId="0" applyFont="1" applyFill="1" applyBorder="1"/>
    <xf numFmtId="0" fontId="42" fillId="5" borderId="38" xfId="0" applyFont="1" applyFill="1" applyBorder="1"/>
    <xf numFmtId="0" fontId="42" fillId="0" borderId="45" xfId="0" applyFont="1" applyBorder="1" applyProtection="1">
      <protection locked="0"/>
    </xf>
    <xf numFmtId="0" fontId="42" fillId="5" borderId="39" xfId="0" applyFont="1" applyFill="1" applyBorder="1"/>
    <xf numFmtId="166" fontId="42" fillId="0" borderId="0" xfId="0" applyNumberFormat="1" applyFont="1"/>
    <xf numFmtId="9" fontId="42" fillId="0" borderId="0" xfId="0" applyNumberFormat="1" applyFont="1"/>
    <xf numFmtId="0" fontId="62" fillId="0" borderId="0" xfId="0" applyFont="1" applyAlignment="1">
      <alignment vertical="top"/>
    </xf>
    <xf numFmtId="9" fontId="42" fillId="5" borderId="15" xfId="3" applyFont="1" applyFill="1" applyBorder="1" applyAlignment="1"/>
    <xf numFmtId="9" fontId="42" fillId="5" borderId="16" xfId="3" applyFont="1" applyFill="1" applyBorder="1" applyAlignment="1"/>
    <xf numFmtId="3" fontId="36" fillId="0" borderId="0" xfId="0" applyNumberFormat="1" applyFont="1"/>
    <xf numFmtId="9" fontId="42" fillId="5" borderId="16" xfId="3" applyFont="1" applyFill="1" applyBorder="1" applyAlignment="1">
      <alignment horizontal="right"/>
    </xf>
    <xf numFmtId="0" fontId="63" fillId="0" borderId="5" xfId="0" applyFont="1" applyBorder="1"/>
    <xf numFmtId="14" fontId="42" fillId="0" borderId="0" xfId="0" applyNumberFormat="1" applyFont="1" applyAlignment="1" applyProtection="1">
      <alignment horizontal="center" vertical="center"/>
      <protection locked="0"/>
    </xf>
    <xf numFmtId="0" fontId="47" fillId="0" borderId="0" xfId="0" applyFont="1" applyAlignment="1">
      <alignment vertical="center" wrapText="1"/>
    </xf>
    <xf numFmtId="0" fontId="42" fillId="0" borderId="43" xfId="0" applyFont="1" applyBorder="1" applyAlignment="1" applyProtection="1">
      <alignment horizontal="center" vertical="center"/>
      <protection locked="0"/>
    </xf>
    <xf numFmtId="14" fontId="42" fillId="0" borderId="2" xfId="0" applyNumberFormat="1" applyFont="1" applyBorder="1" applyAlignment="1" applyProtection="1">
      <alignment horizontal="center" vertical="center"/>
      <protection locked="0"/>
    </xf>
    <xf numFmtId="0" fontId="42" fillId="0" borderId="0" xfId="0" applyFont="1" applyAlignment="1" applyProtection="1">
      <alignment horizontal="center" vertical="center"/>
      <protection locked="0"/>
    </xf>
    <xf numFmtId="14" fontId="42" fillId="0" borderId="43" xfId="0" applyNumberFormat="1" applyFont="1" applyBorder="1" applyAlignment="1" applyProtection="1">
      <alignment horizontal="center" vertical="center" wrapText="1"/>
      <protection locked="0"/>
    </xf>
    <xf numFmtId="14" fontId="42" fillId="0" borderId="24" xfId="0" applyNumberFormat="1" applyFont="1" applyBorder="1" applyAlignment="1" applyProtection="1">
      <alignment horizontal="center" vertical="center" wrapText="1"/>
      <protection locked="0"/>
    </xf>
    <xf numFmtId="0" fontId="36" fillId="0" borderId="67" xfId="0" applyFont="1" applyBorder="1"/>
    <xf numFmtId="0" fontId="42" fillId="0" borderId="0" xfId="0" applyFont="1" applyAlignment="1">
      <alignment horizontal="left" vertical="center"/>
    </xf>
    <xf numFmtId="0" fontId="41" fillId="5" borderId="21" xfId="0" applyFont="1" applyFill="1" applyBorder="1" applyAlignment="1">
      <alignment horizontal="center" vertical="center" wrapText="1"/>
    </xf>
    <xf numFmtId="0" fontId="41" fillId="5" borderId="69" xfId="0" applyFont="1" applyFill="1" applyBorder="1" applyAlignment="1">
      <alignment horizontal="center" vertical="center" wrapText="1"/>
    </xf>
    <xf numFmtId="0" fontId="41" fillId="5" borderId="0" xfId="0" applyFont="1" applyFill="1" applyAlignment="1">
      <alignment horizontal="center" vertical="center" wrapText="1"/>
    </xf>
    <xf numFmtId="0" fontId="41" fillId="5" borderId="46" xfId="0" applyFont="1" applyFill="1" applyBorder="1" applyAlignment="1">
      <alignment horizontal="center" vertical="center" wrapText="1"/>
    </xf>
    <xf numFmtId="0" fontId="41" fillId="5" borderId="66" xfId="0" applyFont="1" applyFill="1" applyBorder="1" applyAlignment="1">
      <alignment horizontal="center" vertical="center" wrapText="1"/>
    </xf>
    <xf numFmtId="0" fontId="41" fillId="5" borderId="80" xfId="0" applyFont="1" applyFill="1" applyBorder="1" applyAlignment="1">
      <alignment horizontal="center" vertical="center" wrapText="1"/>
    </xf>
    <xf numFmtId="0" fontId="41" fillId="5" borderId="84" xfId="0" applyFont="1" applyFill="1" applyBorder="1" applyAlignment="1">
      <alignment horizontal="center" vertical="center" wrapText="1"/>
    </xf>
    <xf numFmtId="0" fontId="41" fillId="5" borderId="83" xfId="0" applyFont="1" applyFill="1" applyBorder="1" applyAlignment="1">
      <alignment horizontal="center" vertical="center" wrapText="1"/>
    </xf>
    <xf numFmtId="0" fontId="41" fillId="5" borderId="82" xfId="0" applyFont="1" applyFill="1" applyBorder="1" applyAlignment="1">
      <alignment horizontal="center" vertical="center" wrapText="1"/>
    </xf>
    <xf numFmtId="0" fontId="41" fillId="5" borderId="81" xfId="0" applyFont="1" applyFill="1" applyBorder="1" applyAlignment="1">
      <alignment horizontal="center" vertical="center" wrapText="1"/>
    </xf>
    <xf numFmtId="0" fontId="41" fillId="5" borderId="116" xfId="0" applyFont="1" applyFill="1" applyBorder="1" applyAlignment="1">
      <alignment horizontal="center" vertical="center" wrapText="1"/>
    </xf>
    <xf numFmtId="0" fontId="42" fillId="5" borderId="124" xfId="0" applyFont="1" applyFill="1" applyBorder="1" applyAlignment="1">
      <alignment horizontal="center" vertical="center"/>
    </xf>
    <xf numFmtId="0" fontId="42" fillId="0" borderId="9" xfId="0" applyFont="1" applyBorder="1" applyAlignment="1" applyProtection="1">
      <alignment horizontal="left" vertical="center" wrapText="1"/>
      <protection locked="0"/>
    </xf>
    <xf numFmtId="0" fontId="42" fillId="0" borderId="7" xfId="0" applyFont="1" applyBorder="1" applyAlignment="1" applyProtection="1">
      <alignment horizontal="left" vertical="center" wrapText="1"/>
      <protection locked="0"/>
    </xf>
    <xf numFmtId="0" fontId="42" fillId="0" borderId="32" xfId="0" applyFont="1" applyBorder="1" applyAlignment="1" applyProtection="1">
      <alignment horizontal="left" vertical="center" wrapText="1"/>
      <protection locked="0"/>
    </xf>
    <xf numFmtId="0" fontId="42" fillId="0" borderId="12" xfId="0" applyFont="1" applyBorder="1" applyAlignment="1" applyProtection="1">
      <alignment horizontal="left" vertical="center" wrapText="1"/>
      <protection locked="0"/>
    </xf>
    <xf numFmtId="0" fontId="42" fillId="0" borderId="30" xfId="0" applyFont="1" applyBorder="1" applyAlignment="1" applyProtection="1">
      <alignment horizontal="center" vertical="center"/>
      <protection locked="0"/>
    </xf>
    <xf numFmtId="9" fontId="42" fillId="5" borderId="12" xfId="3" applyFont="1" applyFill="1" applyBorder="1" applyAlignment="1" applyProtection="1">
      <alignment horizontal="center" vertical="center"/>
    </xf>
    <xf numFmtId="164" fontId="42" fillId="0" borderId="7" xfId="1" applyNumberFormat="1" applyFont="1" applyFill="1" applyBorder="1" applyAlignment="1" applyProtection="1">
      <alignment horizontal="center" vertical="center"/>
      <protection locked="0"/>
    </xf>
    <xf numFmtId="164" fontId="42" fillId="5" borderId="66" xfId="1" applyNumberFormat="1" applyFont="1" applyFill="1" applyBorder="1" applyAlignment="1" applyProtection="1">
      <alignment horizontal="center" vertical="center"/>
    </xf>
    <xf numFmtId="164" fontId="42" fillId="0" borderId="63" xfId="1" applyNumberFormat="1" applyFont="1" applyFill="1" applyBorder="1" applyAlignment="1" applyProtection="1">
      <alignment horizontal="center" vertical="center"/>
      <protection locked="0"/>
    </xf>
    <xf numFmtId="166" fontId="42" fillId="0" borderId="12" xfId="4" applyNumberFormat="1" applyFont="1" applyFill="1" applyBorder="1" applyAlignment="1" applyProtection="1">
      <alignment horizontal="center" vertical="center"/>
      <protection locked="0"/>
    </xf>
    <xf numFmtId="43" fontId="42" fillId="5" borderId="46" xfId="4" applyFont="1" applyFill="1" applyBorder="1" applyAlignment="1" applyProtection="1">
      <alignment horizontal="center" vertical="center"/>
    </xf>
    <xf numFmtId="43" fontId="42" fillId="5" borderId="7" xfId="4" applyFont="1" applyFill="1" applyBorder="1" applyAlignment="1" applyProtection="1">
      <alignment horizontal="center" vertical="center"/>
    </xf>
    <xf numFmtId="43" fontId="42" fillId="5" borderId="66" xfId="4" applyFont="1" applyFill="1" applyBorder="1" applyAlignment="1" applyProtection="1">
      <alignment horizontal="center" vertical="center"/>
    </xf>
    <xf numFmtId="43" fontId="42" fillId="5" borderId="30" xfId="4" applyFont="1" applyFill="1" applyBorder="1" applyAlignment="1" applyProtection="1">
      <alignment horizontal="center" vertical="center"/>
    </xf>
    <xf numFmtId="43" fontId="42" fillId="5" borderId="91" xfId="4" applyFont="1" applyFill="1" applyBorder="1" applyAlignment="1" applyProtection="1">
      <alignment horizontal="center" vertical="center"/>
    </xf>
    <xf numFmtId="43" fontId="42" fillId="5" borderId="90" xfId="4" applyFont="1" applyFill="1" applyBorder="1" applyAlignment="1" applyProtection="1">
      <alignment horizontal="center" vertical="center"/>
    </xf>
    <xf numFmtId="165" fontId="42" fillId="5" borderId="30" xfId="3" applyNumberFormat="1" applyFont="1" applyFill="1" applyBorder="1" applyAlignment="1">
      <alignment horizontal="center" vertical="center"/>
    </xf>
    <xf numFmtId="165" fontId="42" fillId="5" borderId="12" xfId="3" applyNumberFormat="1" applyFont="1" applyFill="1" applyBorder="1" applyAlignment="1">
      <alignment horizontal="center" vertical="center"/>
    </xf>
    <xf numFmtId="0" fontId="42" fillId="0" borderId="12" xfId="3" applyNumberFormat="1" applyFont="1" applyFill="1" applyBorder="1" applyAlignment="1" applyProtection="1">
      <alignment horizontal="center" vertical="center"/>
      <protection locked="0"/>
    </xf>
    <xf numFmtId="0" fontId="42" fillId="5" borderId="16" xfId="0" applyFont="1" applyFill="1" applyBorder="1" applyAlignment="1">
      <alignment horizontal="center" vertical="center"/>
    </xf>
    <xf numFmtId="0" fontId="42" fillId="0" borderId="10" xfId="0" applyFont="1" applyBorder="1" applyAlignment="1" applyProtection="1">
      <alignment horizontal="left" vertical="center" wrapText="1"/>
      <protection locked="0"/>
    </xf>
    <xf numFmtId="0" fontId="42" fillId="0" borderId="6" xfId="0" applyFont="1" applyBorder="1" applyAlignment="1" applyProtection="1">
      <alignment horizontal="left" vertical="center" wrapText="1"/>
      <protection locked="0"/>
    </xf>
    <xf numFmtId="0" fontId="42" fillId="0" borderId="33" xfId="0" applyFont="1" applyBorder="1" applyAlignment="1" applyProtection="1">
      <alignment horizontal="left" vertical="center" wrapText="1"/>
      <protection locked="0"/>
    </xf>
    <xf numFmtId="0" fontId="42" fillId="0" borderId="13" xfId="0" applyFont="1" applyBorder="1" applyAlignment="1" applyProtection="1">
      <alignment horizontal="left" vertical="center" wrapText="1"/>
      <protection locked="0"/>
    </xf>
    <xf numFmtId="0" fontId="42" fillId="0" borderId="23" xfId="0" applyFont="1" applyBorder="1" applyAlignment="1" applyProtection="1">
      <alignment horizontal="center" vertical="center"/>
      <protection locked="0"/>
    </xf>
    <xf numFmtId="164" fontId="42" fillId="0" borderId="6" xfId="1" applyNumberFormat="1" applyFont="1" applyFill="1" applyBorder="1" applyAlignment="1" applyProtection="1">
      <alignment horizontal="center" vertical="center"/>
      <protection locked="0"/>
    </xf>
    <xf numFmtId="164" fontId="42" fillId="0" borderId="36" xfId="1" applyNumberFormat="1" applyFont="1" applyFill="1" applyBorder="1" applyAlignment="1" applyProtection="1">
      <alignment horizontal="center" vertical="center"/>
      <protection locked="0"/>
    </xf>
    <xf numFmtId="166" fontId="42" fillId="0" borderId="23" xfId="4" applyNumberFormat="1" applyFont="1" applyFill="1" applyBorder="1" applyAlignment="1" applyProtection="1">
      <alignment horizontal="center" vertical="center"/>
      <protection locked="0"/>
    </xf>
    <xf numFmtId="166" fontId="42" fillId="0" borderId="13" xfId="4" applyNumberFormat="1" applyFont="1" applyFill="1" applyBorder="1" applyAlignment="1" applyProtection="1">
      <alignment horizontal="center" vertical="center"/>
      <protection locked="0"/>
    </xf>
    <xf numFmtId="0" fontId="42" fillId="5" borderId="114" xfId="0" applyFont="1" applyFill="1" applyBorder="1" applyAlignment="1">
      <alignment horizontal="center" vertical="center"/>
    </xf>
    <xf numFmtId="0" fontId="42" fillId="0" borderId="136" xfId="0" applyFont="1" applyBorder="1" applyAlignment="1" applyProtection="1">
      <alignment horizontal="left" vertical="center" wrapText="1"/>
      <protection locked="0"/>
    </xf>
    <xf numFmtId="0" fontId="42" fillId="0" borderId="126" xfId="0" applyFont="1" applyBorder="1" applyAlignment="1" applyProtection="1">
      <alignment horizontal="left" vertical="center" wrapText="1"/>
      <protection locked="0"/>
    </xf>
    <xf numFmtId="0" fontId="42" fillId="0" borderId="131" xfId="0" applyFont="1" applyBorder="1" applyAlignment="1" applyProtection="1">
      <alignment horizontal="left" vertical="center" wrapText="1"/>
      <protection locked="0"/>
    </xf>
    <xf numFmtId="0" fontId="42" fillId="0" borderId="127" xfId="0" applyFont="1" applyBorder="1" applyAlignment="1" applyProtection="1">
      <alignment horizontal="left" vertical="center" wrapText="1"/>
      <protection locked="0"/>
    </xf>
    <xf numFmtId="0" fontId="42" fillId="0" borderId="128" xfId="0" applyFont="1" applyBorder="1" applyAlignment="1" applyProtection="1">
      <alignment horizontal="center" vertical="center"/>
      <protection locked="0"/>
    </xf>
    <xf numFmtId="0" fontId="42" fillId="0" borderId="126" xfId="0" applyFont="1" applyBorder="1" applyAlignment="1" applyProtection="1">
      <alignment horizontal="center" vertical="center" wrapText="1"/>
      <protection locked="0"/>
    </xf>
    <xf numFmtId="9" fontId="42" fillId="5" borderId="119" xfId="3" applyFont="1" applyFill="1" applyBorder="1" applyAlignment="1" applyProtection="1">
      <alignment horizontal="center" vertical="center"/>
    </xf>
    <xf numFmtId="164" fontId="42" fillId="0" borderId="126" xfId="1" applyNumberFormat="1" applyFont="1" applyFill="1" applyBorder="1" applyAlignment="1" applyProtection="1">
      <alignment horizontal="center" vertical="center"/>
      <protection locked="0"/>
    </xf>
    <xf numFmtId="164" fontId="42" fillId="5" borderId="69" xfId="1" applyNumberFormat="1" applyFont="1" applyFill="1" applyBorder="1" applyAlignment="1" applyProtection="1">
      <alignment horizontal="center" vertical="center"/>
    </xf>
    <xf numFmtId="164" fontId="42" fillId="0" borderId="125" xfId="1" applyNumberFormat="1" applyFont="1" applyFill="1" applyBorder="1" applyAlignment="1" applyProtection="1">
      <alignment horizontal="center" vertical="center"/>
      <protection locked="0"/>
    </xf>
    <xf numFmtId="166" fontId="42" fillId="0" borderId="128" xfId="4" applyNumberFormat="1" applyFont="1" applyFill="1" applyBorder="1" applyAlignment="1" applyProtection="1">
      <alignment horizontal="center" vertical="center"/>
      <protection locked="0"/>
    </xf>
    <xf numFmtId="166" fontId="42" fillId="0" borderId="126" xfId="4" applyNumberFormat="1" applyFont="1" applyFill="1" applyBorder="1" applyAlignment="1" applyProtection="1">
      <alignment horizontal="center" vertical="center"/>
      <protection locked="0"/>
    </xf>
    <xf numFmtId="166" fontId="42" fillId="0" borderId="127" xfId="4" applyNumberFormat="1" applyFont="1" applyFill="1" applyBorder="1" applyAlignment="1" applyProtection="1">
      <alignment horizontal="center" vertical="center"/>
      <protection locked="0"/>
    </xf>
    <xf numFmtId="43" fontId="42" fillId="5" borderId="68" xfId="4" applyFont="1" applyFill="1" applyBorder="1" applyAlignment="1" applyProtection="1">
      <alignment horizontal="center" vertical="center"/>
    </xf>
    <xf numFmtId="43" fontId="42" fillId="5" borderId="118" xfId="4" applyFont="1" applyFill="1" applyBorder="1" applyAlignment="1" applyProtection="1">
      <alignment horizontal="center" vertical="center"/>
    </xf>
    <xf numFmtId="43" fontId="42" fillId="5" borderId="69" xfId="4" applyFont="1" applyFill="1" applyBorder="1" applyAlignment="1" applyProtection="1">
      <alignment horizontal="center" vertical="center"/>
    </xf>
    <xf numFmtId="43" fontId="42" fillId="5" borderId="121" xfId="4" applyFont="1" applyFill="1" applyBorder="1" applyAlignment="1" applyProtection="1">
      <alignment horizontal="center" vertical="center"/>
    </xf>
    <xf numFmtId="165" fontId="42" fillId="5" borderId="119" xfId="3" applyNumberFormat="1" applyFont="1" applyFill="1" applyBorder="1" applyAlignment="1">
      <alignment horizontal="center" vertical="center"/>
    </xf>
    <xf numFmtId="0" fontId="42" fillId="0" borderId="119" xfId="3" applyNumberFormat="1" applyFont="1" applyFill="1" applyBorder="1" applyAlignment="1" applyProtection="1">
      <alignment horizontal="center" vertical="center"/>
      <protection locked="0"/>
    </xf>
    <xf numFmtId="0" fontId="36" fillId="5" borderId="3" xfId="0" applyFont="1" applyFill="1" applyBorder="1"/>
    <xf numFmtId="0" fontId="52" fillId="5" borderId="17" xfId="0" applyFont="1" applyFill="1" applyBorder="1" applyAlignment="1">
      <alignment horizontal="right"/>
    </xf>
    <xf numFmtId="0" fontId="52" fillId="5" borderId="17" xfId="0" applyFont="1" applyFill="1" applyBorder="1"/>
    <xf numFmtId="164" fontId="42" fillId="5" borderId="8" xfId="1" applyNumberFormat="1" applyFont="1" applyFill="1" applyBorder="1" applyAlignment="1" applyProtection="1">
      <alignment horizontal="center" vertical="center"/>
    </xf>
    <xf numFmtId="164" fontId="42" fillId="5" borderId="14" xfId="1" applyNumberFormat="1" applyFont="1" applyFill="1" applyBorder="1" applyAlignment="1" applyProtection="1">
      <alignment horizontal="center" vertical="center"/>
    </xf>
    <xf numFmtId="164" fontId="42" fillId="5" borderId="17" xfId="1" applyNumberFormat="1" applyFont="1" applyFill="1" applyBorder="1" applyAlignment="1" applyProtection="1">
      <alignment horizontal="center" vertical="center"/>
    </xf>
    <xf numFmtId="164" fontId="42" fillId="5" borderId="19" xfId="1" applyNumberFormat="1" applyFont="1" applyFill="1" applyBorder="1" applyAlignment="1" applyProtection="1">
      <alignment horizontal="center" vertical="center"/>
    </xf>
    <xf numFmtId="166" fontId="42" fillId="5" borderId="29" xfId="4" applyNumberFormat="1" applyFont="1" applyFill="1" applyBorder="1" applyAlignment="1" applyProtection="1">
      <alignment horizontal="center" vertical="center"/>
    </xf>
    <xf numFmtId="166" fontId="42" fillId="5" borderId="8" xfId="4" applyNumberFormat="1" applyFont="1" applyFill="1" applyBorder="1" applyAlignment="1" applyProtection="1">
      <alignment horizontal="center" vertical="center"/>
    </xf>
    <xf numFmtId="166" fontId="42" fillId="5" borderId="14" xfId="4" applyNumberFormat="1" applyFont="1" applyFill="1" applyBorder="1" applyAlignment="1" applyProtection="1">
      <alignment horizontal="center" vertical="center"/>
    </xf>
    <xf numFmtId="166" fontId="42" fillId="5" borderId="3" xfId="4" applyNumberFormat="1" applyFont="1" applyFill="1" applyBorder="1" applyAlignment="1" applyProtection="1">
      <alignment horizontal="center" vertical="center"/>
    </xf>
    <xf numFmtId="166" fontId="42" fillId="5" borderId="17" xfId="4" applyNumberFormat="1" applyFont="1" applyFill="1" applyBorder="1" applyAlignment="1" applyProtection="1">
      <alignment horizontal="center" vertical="center"/>
    </xf>
    <xf numFmtId="166" fontId="42" fillId="5" borderId="19" xfId="4" applyNumberFormat="1" applyFont="1" applyFill="1" applyBorder="1" applyAlignment="1" applyProtection="1">
      <alignment horizontal="center" vertical="center"/>
    </xf>
    <xf numFmtId="165" fontId="42" fillId="5" borderId="29" xfId="3" applyNumberFormat="1" applyFont="1" applyFill="1" applyBorder="1" applyAlignment="1" applyProtection="1">
      <alignment horizontal="center" vertical="center"/>
    </xf>
    <xf numFmtId="165" fontId="42" fillId="5" borderId="14" xfId="3" applyNumberFormat="1" applyFont="1" applyFill="1" applyBorder="1" applyAlignment="1" applyProtection="1">
      <alignment horizontal="center" vertical="center"/>
    </xf>
    <xf numFmtId="165" fontId="42" fillId="5" borderId="2" xfId="3" applyNumberFormat="1" applyFont="1" applyFill="1" applyBorder="1" applyAlignment="1" applyProtection="1">
      <alignment horizontal="center" vertical="center"/>
    </xf>
    <xf numFmtId="0" fontId="41" fillId="5" borderId="20" xfId="0" applyFont="1" applyFill="1" applyBorder="1" applyAlignment="1">
      <alignment horizontal="center" vertical="center" wrapText="1"/>
    </xf>
    <xf numFmtId="0" fontId="41" fillId="5" borderId="22" xfId="0" applyFont="1" applyFill="1" applyBorder="1" applyAlignment="1">
      <alignment horizontal="center" vertical="center" wrapText="1"/>
    </xf>
    <xf numFmtId="0" fontId="41" fillId="5" borderId="126" xfId="0" applyFont="1" applyFill="1" applyBorder="1" applyAlignment="1">
      <alignment horizontal="center" vertical="center" wrapText="1"/>
    </xf>
    <xf numFmtId="0" fontId="42" fillId="0" borderId="46" xfId="0" applyFont="1" applyBorder="1" applyAlignment="1" applyProtection="1">
      <alignment horizontal="center" vertical="center"/>
      <protection locked="0"/>
    </xf>
    <xf numFmtId="0" fontId="42" fillId="5" borderId="30" xfId="0" applyFont="1" applyFill="1" applyBorder="1" applyAlignment="1" applyProtection="1">
      <alignment vertical="center" wrapText="1"/>
      <protection hidden="1"/>
    </xf>
    <xf numFmtId="0" fontId="42" fillId="5" borderId="7" xfId="0" applyFont="1" applyFill="1" applyBorder="1" applyAlignment="1" applyProtection="1">
      <alignment vertical="center" wrapText="1"/>
      <protection hidden="1"/>
    </xf>
    <xf numFmtId="43" fontId="42" fillId="5" borderId="132" xfId="4" applyFont="1" applyFill="1" applyBorder="1" applyAlignment="1" applyProtection="1">
      <alignment horizontal="center" vertical="center"/>
    </xf>
    <xf numFmtId="43" fontId="42" fillId="5" borderId="6" xfId="4" applyFont="1" applyFill="1" applyBorder="1" applyAlignment="1" applyProtection="1">
      <alignment horizontal="center" vertical="center"/>
    </xf>
    <xf numFmtId="43" fontId="42" fillId="5" borderId="12" xfId="4" applyFont="1" applyFill="1" applyBorder="1" applyAlignment="1" applyProtection="1">
      <alignment horizontal="center" vertical="center"/>
    </xf>
    <xf numFmtId="0" fontId="42" fillId="0" borderId="68" xfId="0" applyFont="1" applyBorder="1" applyAlignment="1" applyProtection="1">
      <alignment horizontal="center" vertical="center"/>
      <protection locked="0"/>
    </xf>
    <xf numFmtId="9" fontId="42" fillId="5" borderId="127" xfId="3" applyFont="1" applyFill="1" applyBorder="1" applyAlignment="1" applyProtection="1">
      <alignment horizontal="center" vertical="center"/>
    </xf>
    <xf numFmtId="43" fontId="42" fillId="5" borderId="27" xfId="4" applyFont="1" applyFill="1" applyBorder="1" applyAlignment="1" applyProtection="1">
      <alignment horizontal="center" vertical="center"/>
    </xf>
    <xf numFmtId="43" fontId="42" fillId="5" borderId="56" xfId="4" applyFont="1" applyFill="1" applyBorder="1" applyAlignment="1" applyProtection="1">
      <alignment horizontal="center" vertical="center"/>
    </xf>
    <xf numFmtId="165" fontId="42" fillId="5" borderId="127" xfId="3" applyNumberFormat="1" applyFont="1" applyFill="1" applyBorder="1" applyAlignment="1">
      <alignment horizontal="center" vertical="center"/>
    </xf>
    <xf numFmtId="0" fontId="41" fillId="5" borderId="31" xfId="0" applyFont="1" applyFill="1" applyBorder="1" applyAlignment="1">
      <alignment horizontal="center" vertical="center" wrapText="1"/>
    </xf>
    <xf numFmtId="0" fontId="47" fillId="0" borderId="30" xfId="0" applyFont="1" applyBorder="1" applyAlignment="1">
      <alignment horizontal="center" vertical="center"/>
    </xf>
    <xf numFmtId="0" fontId="47" fillId="0" borderId="7" xfId="0" applyFont="1" applyBorder="1" applyAlignment="1" applyProtection="1">
      <alignment horizontal="left" vertical="center" wrapText="1" indent="1"/>
      <protection hidden="1"/>
    </xf>
    <xf numFmtId="0" fontId="47" fillId="0" borderId="32" xfId="0" applyFont="1" applyBorder="1" applyAlignment="1">
      <alignment horizontal="center" vertical="center" wrapText="1"/>
    </xf>
    <xf numFmtId="164" fontId="47" fillId="0" borderId="30" xfId="1" applyNumberFormat="1" applyFont="1" applyFill="1" applyBorder="1" applyAlignment="1">
      <alignment horizontal="left" vertical="center"/>
    </xf>
    <xf numFmtId="164" fontId="47" fillId="0" borderId="12" xfId="1" applyNumberFormat="1" applyFont="1" applyFill="1" applyBorder="1" applyAlignment="1">
      <alignment horizontal="left" vertical="center"/>
    </xf>
    <xf numFmtId="3" fontId="47" fillId="0" borderId="20" xfId="0" applyNumberFormat="1" applyFont="1" applyBorder="1" applyAlignment="1">
      <alignment horizontal="right" vertical="center"/>
    </xf>
    <xf numFmtId="3" fontId="47" fillId="0" borderId="21" xfId="0" applyNumberFormat="1" applyFont="1" applyBorder="1" applyAlignment="1">
      <alignment horizontal="right" vertical="center"/>
    </xf>
    <xf numFmtId="3" fontId="41" fillId="0" borderId="63" xfId="0" applyNumberFormat="1" applyFont="1" applyBorder="1" applyAlignment="1">
      <alignment horizontal="right" vertical="center"/>
    </xf>
    <xf numFmtId="0" fontId="41" fillId="0" borderId="12" xfId="0" applyFont="1" applyBorder="1" applyAlignment="1">
      <alignment horizontal="left" vertical="center"/>
    </xf>
    <xf numFmtId="0" fontId="47" fillId="0" borderId="23" xfId="0" applyFont="1" applyBorder="1" applyAlignment="1">
      <alignment horizontal="center" vertical="center"/>
    </xf>
    <xf numFmtId="0" fontId="47" fillId="0" borderId="6" xfId="0" applyFont="1" applyBorder="1" applyAlignment="1" applyProtection="1">
      <alignment horizontal="left" vertical="center" wrapText="1" indent="1"/>
      <protection hidden="1"/>
    </xf>
    <xf numFmtId="0" fontId="47" fillId="0" borderId="33" xfId="0" applyFont="1" applyBorder="1" applyAlignment="1">
      <alignment horizontal="center" vertical="center" wrapText="1"/>
    </xf>
    <xf numFmtId="164" fontId="47" fillId="0" borderId="23" xfId="1" applyNumberFormat="1" applyFont="1" applyFill="1" applyBorder="1" applyAlignment="1">
      <alignment horizontal="left" vertical="center"/>
    </xf>
    <xf numFmtId="164" fontId="47" fillId="0" borderId="13" xfId="1" applyNumberFormat="1" applyFont="1" applyFill="1" applyBorder="1" applyAlignment="1">
      <alignment horizontal="left" vertical="center"/>
    </xf>
    <xf numFmtId="3" fontId="47" fillId="0" borderId="23" xfId="0" applyNumberFormat="1" applyFont="1" applyBorder="1" applyAlignment="1">
      <alignment horizontal="right" vertical="center"/>
    </xf>
    <xf numFmtId="3" fontId="47" fillId="0" borderId="6" xfId="0" applyNumberFormat="1" applyFont="1" applyBorder="1" applyAlignment="1">
      <alignment horizontal="right" vertical="center"/>
    </xf>
    <xf numFmtId="0" fontId="41" fillId="0" borderId="13" xfId="0" applyFont="1" applyBorder="1" applyAlignment="1">
      <alignment horizontal="left" vertical="center"/>
    </xf>
    <xf numFmtId="0" fontId="47" fillId="0" borderId="26" xfId="0" applyFont="1" applyBorder="1" applyAlignment="1">
      <alignment horizontal="center" vertical="center"/>
    </xf>
    <xf numFmtId="0" fontId="47" fillId="0" borderId="27" xfId="0" applyFont="1" applyBorder="1" applyAlignment="1" applyProtection="1">
      <alignment horizontal="left" vertical="center" wrapText="1" indent="1"/>
      <protection hidden="1"/>
    </xf>
    <xf numFmtId="0" fontId="47" fillId="0" borderId="34" xfId="0" applyFont="1" applyBorder="1" applyAlignment="1">
      <alignment horizontal="center" vertical="center" wrapText="1"/>
    </xf>
    <xf numFmtId="164" fontId="47" fillId="0" borderId="26" xfId="1" applyNumberFormat="1" applyFont="1" applyFill="1" applyBorder="1" applyAlignment="1">
      <alignment horizontal="left" vertical="center"/>
    </xf>
    <xf numFmtId="164" fontId="47" fillId="0" borderId="28" xfId="1" applyNumberFormat="1" applyFont="1" applyFill="1" applyBorder="1" applyAlignment="1">
      <alignment horizontal="left" vertical="center"/>
    </xf>
    <xf numFmtId="3" fontId="47" fillId="0" borderId="26" xfId="0" applyNumberFormat="1" applyFont="1" applyBorder="1" applyAlignment="1">
      <alignment horizontal="right" vertical="center"/>
    </xf>
    <xf numFmtId="3" fontId="47" fillId="0" borderId="27" xfId="0" applyNumberFormat="1" applyFont="1" applyBorder="1" applyAlignment="1">
      <alignment horizontal="right" vertical="center"/>
    </xf>
    <xf numFmtId="3" fontId="41" fillId="0" borderId="27" xfId="0" applyNumberFormat="1" applyFont="1" applyBorder="1" applyAlignment="1">
      <alignment horizontal="right" vertical="center"/>
    </xf>
    <xf numFmtId="0" fontId="41" fillId="0" borderId="28" xfId="0" applyFont="1" applyBorder="1" applyAlignment="1">
      <alignment horizontal="left" vertical="center"/>
    </xf>
    <xf numFmtId="164" fontId="73" fillId="5" borderId="29" xfId="1" applyNumberFormat="1" applyFont="1" applyFill="1" applyBorder="1" applyAlignment="1">
      <alignment horizontal="left" vertical="center"/>
    </xf>
    <xf numFmtId="164" fontId="73" fillId="5" borderId="56" xfId="1" applyNumberFormat="1" applyFont="1" applyFill="1" applyBorder="1" applyAlignment="1">
      <alignment horizontal="left" vertical="center"/>
    </xf>
    <xf numFmtId="166" fontId="73" fillId="5" borderId="18" xfId="4" applyNumberFormat="1" applyFont="1" applyFill="1" applyBorder="1" applyAlignment="1">
      <alignment vertical="center"/>
    </xf>
    <xf numFmtId="0" fontId="73" fillId="5" borderId="56" xfId="0" applyFont="1" applyFill="1" applyBorder="1" applyAlignment="1">
      <alignment vertical="center"/>
    </xf>
    <xf numFmtId="0" fontId="74" fillId="0" borderId="0" xfId="0" applyFont="1" applyAlignment="1">
      <alignment horizontal="left" wrapText="1"/>
    </xf>
    <xf numFmtId="0" fontId="41" fillId="5" borderId="43" xfId="0" applyFont="1" applyFill="1" applyBorder="1" applyAlignment="1">
      <alignment horizontal="center" vertical="center" wrapText="1"/>
    </xf>
    <xf numFmtId="0" fontId="41" fillId="5" borderId="27" xfId="0" applyFont="1" applyFill="1" applyBorder="1" applyAlignment="1">
      <alignment horizontal="center" vertical="center" wrapText="1"/>
    </xf>
    <xf numFmtId="0" fontId="41" fillId="5" borderId="28" xfId="0" applyFont="1" applyFill="1" applyBorder="1" applyAlignment="1">
      <alignment horizontal="center" vertical="center" wrapText="1"/>
    </xf>
    <xf numFmtId="0" fontId="41" fillId="5" borderId="26" xfId="0" applyFont="1" applyFill="1" applyBorder="1" applyAlignment="1">
      <alignment horizontal="center" vertical="center" wrapText="1"/>
    </xf>
    <xf numFmtId="0" fontId="42" fillId="0" borderId="15" xfId="0" applyFont="1" applyBorder="1" applyAlignment="1">
      <alignment horizontal="center" vertical="center"/>
    </xf>
    <xf numFmtId="0" fontId="42" fillId="0" borderId="9" xfId="0" applyFont="1" applyBorder="1" applyAlignment="1">
      <alignment horizontal="left" vertical="center" wrapText="1" indent="1"/>
    </xf>
    <xf numFmtId="164" fontId="42" fillId="0" borderId="15" xfId="0" applyNumberFormat="1" applyFont="1" applyBorder="1" applyAlignment="1">
      <alignment horizontal="center" vertical="center" wrapText="1"/>
    </xf>
    <xf numFmtId="164" fontId="42" fillId="0" borderId="7" xfId="1" applyNumberFormat="1" applyFont="1" applyFill="1" applyBorder="1" applyAlignment="1">
      <alignment horizontal="center" vertical="center"/>
    </xf>
    <xf numFmtId="164" fontId="42" fillId="0" borderId="12" xfId="1" applyNumberFormat="1" applyFont="1" applyFill="1" applyBorder="1" applyAlignment="1">
      <alignment horizontal="center" vertical="center"/>
    </xf>
    <xf numFmtId="165" fontId="42" fillId="0" borderId="30" xfId="3" applyNumberFormat="1" applyFont="1" applyFill="1" applyBorder="1" applyAlignment="1">
      <alignment horizontal="center" vertical="center"/>
    </xf>
    <xf numFmtId="165" fontId="42" fillId="0" borderId="12" xfId="3" applyNumberFormat="1" applyFont="1" applyFill="1" applyBorder="1" applyAlignment="1">
      <alignment horizontal="center" vertical="center"/>
    </xf>
    <xf numFmtId="0" fontId="42" fillId="0" borderId="16" xfId="0" applyFont="1" applyBorder="1" applyAlignment="1">
      <alignment horizontal="center" vertical="center"/>
    </xf>
    <xf numFmtId="0" fontId="52" fillId="0" borderId="3" xfId="0" applyFont="1" applyBorder="1" applyAlignment="1">
      <alignment horizontal="left" vertical="center"/>
    </xf>
    <xf numFmtId="0" fontId="52" fillId="0" borderId="17" xfId="0" applyFont="1" applyBorder="1" applyAlignment="1">
      <alignment horizontal="right" vertical="center"/>
    </xf>
    <xf numFmtId="164" fontId="52" fillId="0" borderId="2" xfId="0" applyNumberFormat="1" applyFont="1" applyBorder="1" applyAlignment="1">
      <alignment vertical="center"/>
    </xf>
    <xf numFmtId="164" fontId="52" fillId="0" borderId="8" xfId="0" applyNumberFormat="1" applyFont="1" applyBorder="1" applyAlignment="1">
      <alignment vertical="center"/>
    </xf>
    <xf numFmtId="164" fontId="52" fillId="0" borderId="14" xfId="0" applyNumberFormat="1" applyFont="1" applyBorder="1" applyAlignment="1">
      <alignment vertical="center"/>
    </xf>
    <xf numFmtId="165" fontId="52" fillId="0" borderId="29" xfId="3" applyNumberFormat="1" applyFont="1" applyBorder="1" applyAlignment="1">
      <alignment vertical="center"/>
    </xf>
    <xf numFmtId="165" fontId="52" fillId="0" borderId="14" xfId="3" applyNumberFormat="1" applyFont="1" applyBorder="1" applyAlignment="1">
      <alignment vertical="center"/>
    </xf>
    <xf numFmtId="0" fontId="42" fillId="0" borderId="30" xfId="0" applyFont="1" applyBorder="1" applyAlignment="1">
      <alignment horizontal="center" vertical="center"/>
    </xf>
    <xf numFmtId="0" fontId="42" fillId="0" borderId="32" xfId="0" applyFont="1" applyBorder="1" applyAlignment="1">
      <alignment horizontal="left" vertical="center" wrapText="1" indent="1"/>
    </xf>
    <xf numFmtId="166" fontId="42" fillId="0" borderId="30" xfId="4" applyNumberFormat="1" applyFont="1" applyFill="1" applyBorder="1" applyAlignment="1">
      <alignment horizontal="center" vertical="center"/>
    </xf>
    <xf numFmtId="166" fontId="42" fillId="0" borderId="7" xfId="4" applyNumberFormat="1" applyFont="1" applyFill="1" applyBorder="1" applyAlignment="1">
      <alignment horizontal="center" vertical="center"/>
    </xf>
    <xf numFmtId="166" fontId="42" fillId="0" borderId="12" xfId="4" applyNumberFormat="1" applyFont="1" applyFill="1" applyBorder="1" applyAlignment="1">
      <alignment horizontal="center" vertical="center"/>
    </xf>
    <xf numFmtId="0" fontId="42" fillId="0" borderId="23" xfId="0" applyFont="1" applyBorder="1" applyAlignment="1">
      <alignment horizontal="center" vertical="center"/>
    </xf>
    <xf numFmtId="0" fontId="42" fillId="0" borderId="33" xfId="0" applyFont="1" applyBorder="1" applyAlignment="1">
      <alignment horizontal="left" vertical="center" wrapText="1" indent="1"/>
    </xf>
    <xf numFmtId="166" fontId="42" fillId="0" borderId="6" xfId="4" applyNumberFormat="1" applyFont="1" applyFill="1" applyBorder="1" applyAlignment="1">
      <alignment horizontal="center" vertical="center"/>
    </xf>
    <xf numFmtId="166" fontId="42" fillId="0" borderId="13" xfId="4" applyNumberFormat="1" applyFont="1" applyFill="1" applyBorder="1" applyAlignment="1">
      <alignment horizontal="center" vertical="center"/>
    </xf>
    <xf numFmtId="0" fontId="52" fillId="0" borderId="19" xfId="0" applyFont="1" applyBorder="1" applyAlignment="1">
      <alignment horizontal="right" vertical="center"/>
    </xf>
    <xf numFmtId="37" fontId="52" fillId="0" borderId="29" xfId="0" applyNumberFormat="1" applyFont="1" applyBorder="1" applyAlignment="1">
      <alignment horizontal="center" vertical="center"/>
    </xf>
    <xf numFmtId="37" fontId="52" fillId="0" borderId="8" xfId="0" applyNumberFormat="1" applyFont="1" applyBorder="1" applyAlignment="1">
      <alignment horizontal="center" vertical="center"/>
    </xf>
    <xf numFmtId="37" fontId="52" fillId="0" borderId="14" xfId="0" applyNumberFormat="1" applyFont="1" applyBorder="1" applyAlignment="1">
      <alignment horizontal="center" vertical="center"/>
    </xf>
    <xf numFmtId="165" fontId="52" fillId="0" borderId="29" xfId="3" applyNumberFormat="1" applyFont="1" applyBorder="1" applyAlignment="1">
      <alignment horizontal="center" vertical="center"/>
    </xf>
    <xf numFmtId="165" fontId="52" fillId="0" borderId="14" xfId="3" applyNumberFormat="1" applyFont="1" applyBorder="1" applyAlignment="1">
      <alignment horizontal="center" vertical="center"/>
    </xf>
    <xf numFmtId="0" fontId="51" fillId="0" borderId="0" xfId="0" applyFont="1" applyAlignment="1">
      <alignment wrapText="1"/>
    </xf>
    <xf numFmtId="0" fontId="59" fillId="0" borderId="18" xfId="0" applyFont="1" applyBorder="1"/>
    <xf numFmtId="0" fontId="42" fillId="0" borderId="18" xfId="0" applyFont="1" applyBorder="1"/>
    <xf numFmtId="0" fontId="3" fillId="15" borderId="2" xfId="0" applyFont="1" applyFill="1" applyBorder="1"/>
    <xf numFmtId="164" fontId="47" fillId="5" borderId="2" xfId="0" applyNumberFormat="1" applyFont="1" applyFill="1" applyBorder="1" applyAlignment="1">
      <alignment vertical="center"/>
    </xf>
    <xf numFmtId="0" fontId="51" fillId="0" borderId="0" xfId="0" applyFont="1" applyAlignment="1">
      <alignment horizontal="left"/>
    </xf>
    <xf numFmtId="0" fontId="26" fillId="0" borderId="0" xfId="0" applyFont="1" applyAlignment="1">
      <alignment wrapText="1"/>
    </xf>
    <xf numFmtId="0" fontId="28" fillId="17" borderId="0" xfId="0" applyFont="1" applyFill="1"/>
    <xf numFmtId="164" fontId="42" fillId="0" borderId="133" xfId="0" applyNumberFormat="1" applyFont="1" applyBorder="1" applyAlignment="1" applyProtection="1">
      <alignment horizontal="center" vertical="center" wrapText="1"/>
      <protection locked="0"/>
    </xf>
    <xf numFmtId="164" fontId="42" fillId="0" borderId="91" xfId="0" applyNumberFormat="1" applyFont="1" applyBorder="1" applyAlignment="1" applyProtection="1">
      <alignment horizontal="center" vertical="center" wrapText="1"/>
      <protection locked="0"/>
    </xf>
    <xf numFmtId="164" fontId="42" fillId="0" borderId="23" xfId="0" applyNumberFormat="1" applyFont="1" applyBorder="1" applyAlignment="1" applyProtection="1">
      <alignment horizontal="center" vertical="center" wrapText="1"/>
      <protection locked="0"/>
    </xf>
    <xf numFmtId="164" fontId="42" fillId="0" borderId="6" xfId="0" applyNumberFormat="1" applyFont="1" applyBorder="1" applyAlignment="1" applyProtection="1">
      <alignment horizontal="center" vertical="center" wrapText="1"/>
      <protection locked="0"/>
    </xf>
    <xf numFmtId="164" fontId="42" fillId="0" borderId="26" xfId="0" applyNumberFormat="1" applyFont="1" applyBorder="1" applyAlignment="1" applyProtection="1">
      <alignment horizontal="center" vertical="center" wrapText="1"/>
      <protection locked="0"/>
    </xf>
    <xf numFmtId="164" fontId="42" fillId="0" borderId="27" xfId="0" applyNumberFormat="1" applyFont="1" applyBorder="1" applyAlignment="1" applyProtection="1">
      <alignment horizontal="center" vertical="center" wrapText="1"/>
      <protection locked="0"/>
    </xf>
    <xf numFmtId="164" fontId="42" fillId="5" borderId="132" xfId="0" applyNumberFormat="1" applyFont="1" applyFill="1" applyBorder="1" applyAlignment="1">
      <alignment horizontal="center" vertical="center" wrapText="1"/>
    </xf>
    <xf numFmtId="164" fontId="42" fillId="5" borderId="13" xfId="0" applyNumberFormat="1" applyFont="1" applyFill="1" applyBorder="1" applyAlignment="1">
      <alignment horizontal="center" vertical="center" wrapText="1"/>
    </xf>
    <xf numFmtId="0" fontId="52" fillId="5" borderId="17" xfId="0" applyFont="1" applyFill="1" applyBorder="1" applyAlignment="1">
      <alignment horizontal="right" indent="2"/>
    </xf>
    <xf numFmtId="2" fontId="47" fillId="0" borderId="0" xfId="0" applyNumberFormat="1" applyFont="1"/>
    <xf numFmtId="3" fontId="42" fillId="0" borderId="7" xfId="4" applyNumberFormat="1" applyFont="1" applyFill="1" applyBorder="1" applyAlignment="1" applyProtection="1">
      <alignment horizontal="center" vertical="center"/>
      <protection locked="0"/>
    </xf>
    <xf numFmtId="3" fontId="42" fillId="0" borderId="6" xfId="4" applyNumberFormat="1" applyFont="1" applyFill="1" applyBorder="1" applyAlignment="1" applyProtection="1">
      <alignment horizontal="center" vertical="center"/>
      <protection locked="0"/>
    </xf>
    <xf numFmtId="37" fontId="42" fillId="0" borderId="30" xfId="4" applyNumberFormat="1" applyFont="1" applyFill="1" applyBorder="1" applyAlignment="1" applyProtection="1">
      <alignment horizontal="center" vertical="center"/>
      <protection locked="0"/>
    </xf>
    <xf numFmtId="37" fontId="42" fillId="0" borderId="66" xfId="4" applyNumberFormat="1" applyFont="1" applyFill="1" applyBorder="1" applyAlignment="1" applyProtection="1">
      <alignment horizontal="center" vertical="center"/>
      <protection locked="0"/>
    </xf>
    <xf numFmtId="37" fontId="42" fillId="0" borderId="37" xfId="4" applyNumberFormat="1" applyFont="1" applyFill="1" applyBorder="1" applyAlignment="1" applyProtection="1">
      <alignment horizontal="center" vertical="center"/>
      <protection locked="0"/>
    </xf>
    <xf numFmtId="37" fontId="42" fillId="0" borderId="39" xfId="4" applyNumberFormat="1" applyFont="1" applyFill="1" applyBorder="1" applyAlignment="1" applyProtection="1">
      <alignment horizontal="center" vertical="center"/>
      <protection locked="0"/>
    </xf>
    <xf numFmtId="37" fontId="42" fillId="0" borderId="9" xfId="4" applyNumberFormat="1" applyFont="1" applyFill="1" applyBorder="1" applyAlignment="1" applyProtection="1">
      <alignment horizontal="center" vertical="center"/>
      <protection locked="0"/>
    </xf>
    <xf numFmtId="166" fontId="42" fillId="5" borderId="103" xfId="4" applyNumberFormat="1" applyFont="1" applyFill="1" applyBorder="1" applyAlignment="1">
      <alignment horizontal="center" vertical="center"/>
    </xf>
    <xf numFmtId="37" fontId="67" fillId="5" borderId="21" xfId="4" applyNumberFormat="1" applyFont="1" applyFill="1" applyBorder="1" applyAlignment="1">
      <alignment horizontal="center" vertical="center" wrapText="1"/>
    </xf>
    <xf numFmtId="37" fontId="59" fillId="5" borderId="20" xfId="4" applyNumberFormat="1" applyFont="1" applyFill="1" applyBorder="1" applyAlignment="1">
      <alignment horizontal="center" vertical="center"/>
    </xf>
    <xf numFmtId="37" fontId="59" fillId="5" borderId="21" xfId="4" applyNumberFormat="1" applyFont="1" applyFill="1" applyBorder="1" applyAlignment="1">
      <alignment horizontal="center" vertical="center"/>
    </xf>
    <xf numFmtId="37" fontId="59" fillId="5" borderId="22" xfId="4" applyNumberFormat="1" applyFont="1" applyFill="1" applyBorder="1" applyAlignment="1">
      <alignment horizontal="center" vertical="center"/>
    </xf>
    <xf numFmtId="9" fontId="67" fillId="5" borderId="26" xfId="3" applyFont="1" applyFill="1" applyBorder="1" applyAlignment="1">
      <alignment horizontal="center" vertical="center" wrapText="1"/>
    </xf>
    <xf numFmtId="9" fontId="67" fillId="5" borderId="27" xfId="3" applyFont="1" applyFill="1" applyBorder="1" applyAlignment="1">
      <alignment horizontal="center" vertical="center" wrapText="1"/>
    </xf>
    <xf numFmtId="9" fontId="59" fillId="5" borderId="26" xfId="3" applyFont="1" applyFill="1" applyBorder="1" applyAlignment="1">
      <alignment horizontal="center" vertical="center"/>
    </xf>
    <xf numFmtId="9" fontId="59" fillId="5" borderId="27" xfId="3" applyFont="1" applyFill="1" applyBorder="1" applyAlignment="1">
      <alignment horizontal="center" vertical="center"/>
    </xf>
    <xf numFmtId="9" fontId="67" fillId="5" borderId="39" xfId="3" applyFont="1" applyFill="1" applyBorder="1" applyAlignment="1">
      <alignment horizontal="center" vertical="center" wrapText="1"/>
    </xf>
    <xf numFmtId="165" fontId="42" fillId="5" borderId="15" xfId="3" applyNumberFormat="1" applyFont="1" applyFill="1" applyBorder="1" applyAlignment="1"/>
    <xf numFmtId="165" fontId="42" fillId="5" borderId="16" xfId="3" applyNumberFormat="1" applyFont="1" applyFill="1" applyBorder="1" applyAlignment="1">
      <alignment horizontal="right"/>
    </xf>
    <xf numFmtId="0" fontId="57" fillId="0" borderId="0" xfId="0" applyFont="1"/>
    <xf numFmtId="0" fontId="47" fillId="0" borderId="0" xfId="0" applyFont="1" applyAlignment="1" applyProtection="1">
      <alignment horizontal="left" vertical="center" indent="1"/>
      <protection hidden="1"/>
    </xf>
    <xf numFmtId="0" fontId="75" fillId="0" borderId="0" xfId="5" applyFont="1" applyAlignment="1" applyProtection="1">
      <alignment horizontal="left" vertical="center"/>
      <protection hidden="1"/>
    </xf>
    <xf numFmtId="0" fontId="27" fillId="0" borderId="0" xfId="0" applyFont="1" applyAlignment="1">
      <alignment horizontal="left"/>
    </xf>
    <xf numFmtId="0" fontId="27" fillId="0" borderId="0" xfId="0" applyFont="1" applyAlignment="1">
      <alignment horizontal="center"/>
    </xf>
    <xf numFmtId="3" fontId="0" fillId="18" borderId="4" xfId="0" applyNumberFormat="1" applyFill="1" applyBorder="1" applyAlignment="1">
      <alignment horizontal="center"/>
    </xf>
    <xf numFmtId="4" fontId="0" fillId="18" borderId="4" xfId="0" applyNumberFormat="1" applyFill="1" applyBorder="1" applyAlignment="1">
      <alignment horizontal="center"/>
    </xf>
    <xf numFmtId="0" fontId="0" fillId="18" borderId="4" xfId="0" applyFill="1" applyBorder="1" applyAlignment="1">
      <alignment horizontal="center"/>
    </xf>
    <xf numFmtId="166" fontId="42" fillId="0" borderId="91" xfId="0" applyNumberFormat="1" applyFont="1" applyBorder="1" applyAlignment="1" applyProtection="1">
      <alignment horizontal="center" vertical="center" wrapText="1"/>
      <protection locked="0"/>
    </xf>
    <xf numFmtId="166" fontId="42" fillId="0" borderId="6" xfId="0" applyNumberFormat="1" applyFont="1" applyBorder="1" applyAlignment="1" applyProtection="1">
      <alignment horizontal="center" vertical="center" wrapText="1"/>
      <protection locked="0"/>
    </xf>
    <xf numFmtId="166" fontId="42" fillId="5" borderId="6" xfId="0" applyNumberFormat="1" applyFont="1" applyFill="1" applyBorder="1" applyAlignment="1">
      <alignment horizontal="center" vertical="center" wrapText="1"/>
    </xf>
    <xf numFmtId="166" fontId="42" fillId="0" borderId="27" xfId="0" applyNumberFormat="1" applyFont="1" applyBorder="1" applyAlignment="1" applyProtection="1">
      <alignment horizontal="center" vertical="center" wrapText="1"/>
      <protection locked="0"/>
    </xf>
    <xf numFmtId="166" fontId="42" fillId="0" borderId="90" xfId="0" applyNumberFormat="1" applyFont="1" applyBorder="1" applyAlignment="1" applyProtection="1">
      <alignment horizontal="center" vertical="center" wrapText="1"/>
      <protection locked="0"/>
    </xf>
    <xf numFmtId="166" fontId="42" fillId="0" borderId="37" xfId="0" applyNumberFormat="1" applyFont="1" applyBorder="1" applyAlignment="1" applyProtection="1">
      <alignment horizontal="center" vertical="center" wrapText="1"/>
      <protection locked="0"/>
    </xf>
    <xf numFmtId="166" fontId="42" fillId="5" borderId="37" xfId="0" applyNumberFormat="1" applyFont="1" applyFill="1" applyBorder="1" applyAlignment="1">
      <alignment horizontal="center" vertical="center" wrapText="1"/>
    </xf>
    <xf numFmtId="166" fontId="42" fillId="0" borderId="39" xfId="0" applyNumberFormat="1" applyFont="1" applyBorder="1" applyAlignment="1" applyProtection="1">
      <alignment horizontal="center" vertical="center" wrapText="1"/>
      <protection locked="0"/>
    </xf>
    <xf numFmtId="1" fontId="0" fillId="0" borderId="4" xfId="0" applyNumberFormat="1" applyBorder="1" applyAlignment="1">
      <alignment horizontal="center"/>
    </xf>
    <xf numFmtId="0" fontId="0" fillId="0" borderId="17" xfId="0" applyBorder="1" applyAlignment="1">
      <alignment horizontal="center"/>
    </xf>
    <xf numFmtId="3" fontId="0" fillId="0" borderId="17" xfId="0" applyNumberFormat="1" applyBorder="1" applyAlignment="1">
      <alignment horizontal="center"/>
    </xf>
    <xf numFmtId="4" fontId="27" fillId="0" borderId="17" xfId="0" applyNumberFormat="1" applyFont="1" applyBorder="1" applyAlignment="1">
      <alignment horizontal="center"/>
    </xf>
    <xf numFmtId="4" fontId="0" fillId="0" borderId="17" xfId="0" applyNumberFormat="1" applyBorder="1" applyAlignment="1">
      <alignment horizontal="center"/>
    </xf>
    <xf numFmtId="2" fontId="0" fillId="0" borderId="17" xfId="0" applyNumberFormat="1" applyBorder="1" applyAlignment="1">
      <alignment horizontal="center"/>
    </xf>
    <xf numFmtId="0" fontId="27" fillId="0" borderId="17" xfId="0" applyFont="1" applyBorder="1" applyAlignment="1">
      <alignment horizontal="center"/>
    </xf>
    <xf numFmtId="0" fontId="0" fillId="0" borderId="18" xfId="0" applyBorder="1" applyAlignment="1">
      <alignment horizontal="center"/>
    </xf>
    <xf numFmtId="3" fontId="0" fillId="0" borderId="18" xfId="0" applyNumberFormat="1" applyBorder="1" applyAlignment="1">
      <alignment horizontal="center"/>
    </xf>
    <xf numFmtId="4" fontId="0" fillId="0" borderId="18" xfId="0" applyNumberFormat="1" applyBorder="1" applyAlignment="1">
      <alignment horizontal="center"/>
    </xf>
    <xf numFmtId="2" fontId="0" fillId="0" borderId="18" xfId="0" applyNumberFormat="1" applyBorder="1" applyAlignment="1">
      <alignment horizontal="center"/>
    </xf>
    <xf numFmtId="0" fontId="0" fillId="0" borderId="139" xfId="0" applyBorder="1" applyAlignment="1">
      <alignment horizontal="center"/>
    </xf>
    <xf numFmtId="0" fontId="0" fillId="0" borderId="140" xfId="0" applyBorder="1" applyAlignment="1">
      <alignment horizontal="center"/>
    </xf>
    <xf numFmtId="0" fontId="0" fillId="0" borderId="139" xfId="0" applyBorder="1" applyAlignment="1">
      <alignment horizontal="left"/>
    </xf>
    <xf numFmtId="0" fontId="0" fillId="0" borderId="129" xfId="0" applyBorder="1" applyAlignment="1">
      <alignment horizontal="left"/>
    </xf>
    <xf numFmtId="0" fontId="0" fillId="0" borderId="140" xfId="0" applyBorder="1" applyAlignment="1">
      <alignment horizontal="left"/>
    </xf>
    <xf numFmtId="0" fontId="0" fillId="0" borderId="130" xfId="0" applyBorder="1" applyAlignment="1">
      <alignment horizontal="left"/>
    </xf>
    <xf numFmtId="0" fontId="3" fillId="15" borderId="138" xfId="0" applyFont="1" applyFill="1" applyBorder="1" applyAlignment="1">
      <alignment horizontal="center" wrapText="1"/>
    </xf>
    <xf numFmtId="0" fontId="3" fillId="15" borderId="101" xfId="0" applyFont="1" applyFill="1" applyBorder="1" applyAlignment="1">
      <alignment horizontal="center" wrapText="1"/>
    </xf>
    <xf numFmtId="0" fontId="3" fillId="15" borderId="138" xfId="0" applyFont="1" applyFill="1" applyBorder="1" applyAlignment="1">
      <alignment horizontal="left" wrapText="1"/>
    </xf>
    <xf numFmtId="0" fontId="3" fillId="15" borderId="138" xfId="0" applyFont="1" applyFill="1" applyBorder="1" applyAlignment="1">
      <alignment horizontal="center"/>
    </xf>
    <xf numFmtId="0" fontId="3" fillId="15" borderId="101" xfId="0" applyFont="1" applyFill="1" applyBorder="1" applyAlignment="1">
      <alignment horizontal="center"/>
    </xf>
    <xf numFmtId="0" fontId="0" fillId="15" borderId="101" xfId="0" applyFill="1" applyBorder="1" applyAlignment="1">
      <alignment horizontal="center"/>
    </xf>
    <xf numFmtId="0" fontId="3" fillId="15" borderId="138" xfId="0" applyFont="1" applyFill="1" applyBorder="1" applyAlignment="1">
      <alignment horizontal="left"/>
    </xf>
    <xf numFmtId="0" fontId="24" fillId="15" borderId="101" xfId="0" applyFont="1" applyFill="1" applyBorder="1" applyAlignment="1">
      <alignment horizontal="center" wrapText="1"/>
    </xf>
    <xf numFmtId="0" fontId="3" fillId="2" borderId="2" xfId="0" applyFont="1" applyFill="1" applyBorder="1"/>
    <xf numFmtId="0" fontId="53" fillId="0" borderId="0" xfId="0" applyFont="1" applyAlignment="1">
      <alignment horizontal="right"/>
    </xf>
    <xf numFmtId="0" fontId="42" fillId="0" borderId="0" xfId="0" applyFont="1" applyAlignment="1" applyProtection="1">
      <alignment vertical="center" wrapText="1"/>
      <protection locked="0"/>
    </xf>
    <xf numFmtId="0" fontId="52" fillId="5" borderId="19" xfId="0" applyFont="1" applyFill="1" applyBorder="1" applyAlignment="1">
      <alignment vertical="center"/>
    </xf>
    <xf numFmtId="3" fontId="0" fillId="5" borderId="65" xfId="0" applyNumberFormat="1" applyFill="1" applyBorder="1"/>
    <xf numFmtId="3" fontId="0" fillId="5" borderId="54" xfId="0" applyNumberFormat="1" applyFill="1" applyBorder="1"/>
    <xf numFmtId="3" fontId="0" fillId="5" borderId="64" xfId="0" applyNumberFormat="1" applyFill="1" applyBorder="1"/>
    <xf numFmtId="3" fontId="0" fillId="5" borderId="68" xfId="0" applyNumberFormat="1" applyFill="1" applyBorder="1"/>
    <xf numFmtId="3" fontId="0" fillId="5" borderId="117" xfId="0" applyNumberFormat="1" applyFill="1" applyBorder="1"/>
    <xf numFmtId="0" fontId="3" fillId="5" borderId="3" xfId="0" applyFont="1" applyFill="1" applyBorder="1" applyAlignment="1">
      <alignment wrapText="1"/>
    </xf>
    <xf numFmtId="0" fontId="11" fillId="0" borderId="147" xfId="0" applyFont="1" applyBorder="1" applyAlignment="1">
      <alignment vertical="center" wrapText="1"/>
    </xf>
    <xf numFmtId="0" fontId="11" fillId="0" borderId="149" xfId="0" applyFont="1" applyBorder="1" applyAlignment="1">
      <alignment vertical="center" wrapText="1"/>
    </xf>
    <xf numFmtId="2" fontId="11" fillId="3" borderId="153" xfId="0" applyNumberFormat="1" applyFont="1" applyFill="1" applyBorder="1" applyAlignment="1">
      <alignment vertical="center" wrapText="1"/>
    </xf>
    <xf numFmtId="0" fontId="11" fillId="0" borderId="152" xfId="0" applyFont="1" applyBorder="1" applyAlignment="1">
      <alignment vertical="center" wrapText="1"/>
    </xf>
    <xf numFmtId="1" fontId="11" fillId="3" borderId="153" xfId="0" applyNumberFormat="1" applyFont="1" applyFill="1" applyBorder="1" applyAlignment="1">
      <alignment vertical="center" wrapText="1"/>
    </xf>
    <xf numFmtId="0" fontId="11" fillId="0" borderId="154" xfId="0" applyFont="1" applyBorder="1" applyAlignment="1">
      <alignment vertical="center" wrapText="1"/>
    </xf>
    <xf numFmtId="0" fontId="15" fillId="0" borderId="0" xfId="0" applyFont="1"/>
    <xf numFmtId="169" fontId="42" fillId="5" borderId="7" xfId="0" applyNumberFormat="1" applyFont="1" applyFill="1" applyBorder="1" applyAlignment="1" applyProtection="1">
      <alignment horizontal="center" vertical="center" wrapText="1"/>
      <protection hidden="1"/>
    </xf>
    <xf numFmtId="169" fontId="42" fillId="5" borderId="12" xfId="0" applyNumberFormat="1" applyFont="1" applyFill="1" applyBorder="1" applyAlignment="1" applyProtection="1">
      <alignment horizontal="center" vertical="center" wrapText="1"/>
      <protection hidden="1"/>
    </xf>
    <xf numFmtId="0" fontId="47" fillId="0" borderId="0" xfId="0" applyFont="1" applyAlignment="1">
      <alignment horizontal="right" vertical="center" wrapText="1" indent="1"/>
    </xf>
    <xf numFmtId="0" fontId="47" fillId="0" borderId="0" xfId="0" applyFont="1" applyAlignment="1">
      <alignment horizontal="right" vertical="center" indent="1"/>
    </xf>
    <xf numFmtId="0" fontId="36" fillId="0" borderId="0" xfId="0" applyFont="1" applyAlignment="1">
      <alignment horizontal="right" indent="1"/>
    </xf>
    <xf numFmtId="0" fontId="47" fillId="5" borderId="34" xfId="0" applyFont="1" applyFill="1" applyBorder="1" applyAlignment="1">
      <alignment vertical="center" wrapText="1"/>
    </xf>
    <xf numFmtId="0" fontId="56" fillId="0" borderId="45" xfId="0" applyFont="1" applyBorder="1" applyAlignment="1" applyProtection="1">
      <alignment vertical="center" wrapText="1"/>
      <protection hidden="1"/>
    </xf>
    <xf numFmtId="0" fontId="47" fillId="0" borderId="24" xfId="0" applyFont="1" applyBorder="1" applyAlignment="1" applyProtection="1">
      <alignment vertical="center" wrapText="1"/>
      <protection locked="0"/>
    </xf>
    <xf numFmtId="0" fontId="27" fillId="0" borderId="0" xfId="0" applyFont="1" applyAlignment="1">
      <alignment wrapText="1"/>
    </xf>
    <xf numFmtId="164" fontId="42" fillId="0" borderId="21" xfId="0" applyNumberFormat="1" applyFont="1" applyBorder="1" applyAlignment="1" applyProtection="1">
      <alignment horizontal="center" vertical="center" wrapText="1"/>
      <protection locked="0"/>
    </xf>
    <xf numFmtId="0" fontId="42" fillId="0" borderId="22" xfId="3" applyNumberFormat="1" applyFont="1" applyFill="1" applyBorder="1" applyAlignment="1" applyProtection="1">
      <alignment horizontal="center" vertical="center"/>
      <protection locked="0"/>
    </xf>
    <xf numFmtId="0" fontId="42" fillId="0" borderId="13" xfId="3" applyNumberFormat="1" applyFont="1" applyFill="1" applyBorder="1" applyAlignment="1" applyProtection="1">
      <alignment horizontal="center" vertical="center"/>
      <protection locked="0"/>
    </xf>
    <xf numFmtId="0" fontId="42" fillId="0" borderId="28" xfId="3" applyNumberFormat="1" applyFont="1" applyFill="1" applyBorder="1" applyAlignment="1" applyProtection="1">
      <alignment horizontal="center" vertical="center"/>
      <protection locked="0"/>
    </xf>
    <xf numFmtId="0" fontId="42" fillId="0" borderId="0" xfId="0" applyFont="1" applyAlignment="1">
      <alignment horizontal="center" vertical="center"/>
    </xf>
    <xf numFmtId="0" fontId="42" fillId="0" borderId="0" xfId="0" applyFont="1" applyAlignment="1">
      <alignment horizontal="left" vertical="center" wrapText="1" indent="1"/>
    </xf>
    <xf numFmtId="166" fontId="42" fillId="0" borderId="0" xfId="4" applyNumberFormat="1" applyFont="1" applyFill="1" applyBorder="1" applyAlignment="1">
      <alignment horizontal="center" vertical="center"/>
    </xf>
    <xf numFmtId="166" fontId="42" fillId="0" borderId="15" xfId="4" applyNumberFormat="1" applyFont="1" applyFill="1" applyBorder="1" applyAlignment="1">
      <alignment horizontal="center" vertical="center"/>
    </xf>
    <xf numFmtId="0" fontId="42" fillId="0" borderId="26" xfId="0" applyFont="1" applyBorder="1" applyAlignment="1">
      <alignment horizontal="center" vertical="center"/>
    </xf>
    <xf numFmtId="0" fontId="42" fillId="0" borderId="34" xfId="0" applyFont="1" applyBorder="1" applyAlignment="1">
      <alignment horizontal="left" vertical="center" wrapText="1" indent="1"/>
    </xf>
    <xf numFmtId="166" fontId="42" fillId="0" borderId="65" xfId="4" applyNumberFormat="1" applyFont="1" applyFill="1" applyBorder="1" applyAlignment="1">
      <alignment horizontal="center" vertical="center"/>
    </xf>
    <xf numFmtId="170" fontId="0" fillId="0" borderId="0" xfId="0" applyNumberFormat="1"/>
    <xf numFmtId="0" fontId="0" fillId="0" borderId="0" xfId="0" applyAlignment="1">
      <alignment horizontal="right"/>
    </xf>
    <xf numFmtId="16" fontId="3" fillId="0" borderId="2" xfId="0" quotePrefix="1" applyNumberFormat="1" applyFont="1" applyBorder="1"/>
    <xf numFmtId="3" fontId="0" fillId="0" borderId="0" xfId="0" applyNumberFormat="1"/>
    <xf numFmtId="0" fontId="24" fillId="5" borderId="2" xfId="0" applyFont="1" applyFill="1" applyBorder="1" applyAlignment="1">
      <alignment wrapText="1"/>
    </xf>
    <xf numFmtId="0" fontId="0" fillId="0" borderId="0" xfId="0" quotePrefix="1"/>
    <xf numFmtId="165" fontId="42" fillId="5" borderId="63" xfId="3" applyNumberFormat="1" applyFont="1" applyFill="1" applyBorder="1" applyAlignment="1">
      <alignment horizontal="center" vertical="center"/>
    </xf>
    <xf numFmtId="0" fontId="42" fillId="5" borderId="18" xfId="0" applyFont="1" applyFill="1" applyBorder="1" applyAlignment="1">
      <alignment horizontal="center" vertical="center"/>
    </xf>
    <xf numFmtId="0" fontId="79" fillId="5" borderId="76" xfId="0" applyFont="1" applyFill="1" applyBorder="1" applyAlignment="1">
      <alignment horizontal="center" vertical="center" wrapText="1"/>
    </xf>
    <xf numFmtId="166" fontId="42" fillId="5" borderId="63" xfId="4" applyNumberFormat="1" applyFont="1" applyFill="1" applyBorder="1" applyAlignment="1">
      <alignment horizontal="center" vertical="center"/>
    </xf>
    <xf numFmtId="166" fontId="42" fillId="5" borderId="90" xfId="4" applyNumberFormat="1" applyFont="1" applyFill="1" applyBorder="1" applyAlignment="1">
      <alignment horizontal="center" vertical="center"/>
    </xf>
    <xf numFmtId="166" fontId="41" fillId="5" borderId="17" xfId="0" applyNumberFormat="1" applyFont="1" applyFill="1" applyBorder="1" applyAlignment="1">
      <alignment horizontal="right" vertical="center" wrapText="1"/>
    </xf>
    <xf numFmtId="0" fontId="41" fillId="5" borderId="38" xfId="0" applyFont="1" applyFill="1" applyBorder="1" applyAlignment="1">
      <alignment horizontal="center" vertical="center" wrapText="1"/>
    </xf>
    <xf numFmtId="165" fontId="42" fillId="0" borderId="63" xfId="3" applyNumberFormat="1" applyFont="1" applyFill="1" applyBorder="1" applyAlignment="1">
      <alignment horizontal="center" vertical="center"/>
    </xf>
    <xf numFmtId="165" fontId="52" fillId="0" borderId="17" xfId="3" applyNumberFormat="1" applyFont="1" applyBorder="1" applyAlignment="1">
      <alignment horizontal="center" vertical="center"/>
    </xf>
    <xf numFmtId="166" fontId="42" fillId="0" borderId="24" xfId="4" applyNumberFormat="1" applyFont="1" applyBorder="1" applyAlignment="1" applyProtection="1">
      <alignment horizontal="center" vertical="center"/>
      <protection locked="0"/>
    </xf>
    <xf numFmtId="0" fontId="47" fillId="2" borderId="0" xfId="0" applyFont="1" applyFill="1"/>
    <xf numFmtId="0" fontId="79" fillId="2" borderId="18" xfId="0" applyFont="1" applyFill="1" applyBorder="1"/>
    <xf numFmtId="0" fontId="45" fillId="0" borderId="0" xfId="0" quotePrefix="1" applyFont="1"/>
    <xf numFmtId="0" fontId="42" fillId="5" borderId="47" xfId="0" applyFont="1" applyFill="1" applyBorder="1"/>
    <xf numFmtId="0" fontId="42" fillId="5" borderId="37" xfId="0" applyFont="1" applyFill="1" applyBorder="1"/>
    <xf numFmtId="0" fontId="42" fillId="5" borderId="90" xfId="0" applyFont="1" applyFill="1" applyBorder="1"/>
    <xf numFmtId="0" fontId="62" fillId="0" borderId="0" xfId="0" applyFont="1"/>
    <xf numFmtId="165" fontId="42" fillId="5" borderId="8" xfId="3" applyNumberFormat="1" applyFont="1" applyFill="1" applyBorder="1" applyAlignment="1" applyProtection="1">
      <alignment horizontal="center" vertical="center"/>
    </xf>
    <xf numFmtId="165" fontId="42" fillId="5" borderId="20" xfId="3" applyNumberFormat="1" applyFont="1" applyFill="1" applyBorder="1" applyAlignment="1" applyProtection="1">
      <alignment horizontal="center" vertical="center"/>
      <protection hidden="1"/>
    </xf>
    <xf numFmtId="165" fontId="42" fillId="5" borderId="21" xfId="3" applyNumberFormat="1" applyFont="1" applyFill="1" applyBorder="1" applyAlignment="1" applyProtection="1">
      <alignment horizontal="center" vertical="center"/>
      <protection hidden="1"/>
    </xf>
    <xf numFmtId="165" fontId="42" fillId="5" borderId="7" xfId="3" applyNumberFormat="1" applyFont="1" applyFill="1" applyBorder="1" applyAlignment="1" applyProtection="1">
      <alignment horizontal="center" vertical="center"/>
      <protection hidden="1"/>
    </xf>
    <xf numFmtId="0" fontId="36" fillId="0" borderId="155" xfId="0" applyFont="1" applyBorder="1"/>
    <xf numFmtId="0" fontId="36" fillId="0" borderId="156" xfId="0" applyFont="1" applyBorder="1"/>
    <xf numFmtId="165" fontId="52" fillId="5" borderId="8" xfId="3" applyNumberFormat="1" applyFont="1" applyFill="1" applyBorder="1" applyAlignment="1">
      <alignment horizontal="center" vertical="center"/>
    </xf>
    <xf numFmtId="0" fontId="41" fillId="0" borderId="0" xfId="0" applyFont="1" applyAlignment="1">
      <alignment vertical="center" wrapText="1"/>
    </xf>
    <xf numFmtId="0" fontId="45" fillId="0" borderId="0" xfId="0" quotePrefix="1" applyFont="1" applyAlignment="1">
      <alignment wrapText="1"/>
    </xf>
    <xf numFmtId="0" fontId="41" fillId="5" borderId="17" xfId="0" applyFont="1" applyFill="1" applyBorder="1" applyAlignment="1">
      <alignment horizontal="center" vertical="center" wrapText="1"/>
    </xf>
    <xf numFmtId="0" fontId="41" fillId="5" borderId="40" xfId="0" applyFont="1" applyFill="1" applyBorder="1" applyAlignment="1">
      <alignment horizontal="center" vertical="center" wrapText="1"/>
    </xf>
    <xf numFmtId="0" fontId="41" fillId="5" borderId="41" xfId="0" applyFont="1" applyFill="1" applyBorder="1" applyAlignment="1">
      <alignment horizontal="center" vertical="center" wrapText="1"/>
    </xf>
    <xf numFmtId="0" fontId="41" fillId="0" borderId="0" xfId="0" applyFont="1" applyAlignment="1">
      <alignment horizontal="right" vertical="center" wrapText="1"/>
    </xf>
    <xf numFmtId="0" fontId="41" fillId="0" borderId="69" xfId="0" applyFont="1" applyBorder="1" applyAlignment="1">
      <alignment horizontal="right" vertical="center" wrapText="1"/>
    </xf>
    <xf numFmtId="0" fontId="41" fillId="5" borderId="56" xfId="0" applyFont="1" applyFill="1" applyBorder="1" applyAlignment="1">
      <alignment horizontal="center" vertical="center" wrapText="1"/>
    </xf>
    <xf numFmtId="0" fontId="41" fillId="5" borderId="31" xfId="0" applyFont="1" applyFill="1" applyBorder="1" applyAlignment="1">
      <alignment vertical="center" wrapText="1"/>
    </xf>
    <xf numFmtId="0" fontId="51" fillId="0" borderId="94" xfId="0" applyFont="1" applyBorder="1" applyAlignment="1" applyProtection="1">
      <alignment vertical="center" wrapText="1"/>
      <protection hidden="1"/>
    </xf>
    <xf numFmtId="0" fontId="51" fillId="0" borderId="95" xfId="0" applyFont="1" applyBorder="1" applyAlignment="1" applyProtection="1">
      <alignment vertical="center" wrapText="1"/>
      <protection hidden="1"/>
    </xf>
    <xf numFmtId="0" fontId="41" fillId="5" borderId="17" xfId="0" applyFont="1" applyFill="1" applyBorder="1" applyAlignment="1">
      <alignment horizontal="right" vertical="center" wrapText="1"/>
    </xf>
    <xf numFmtId="0" fontId="62" fillId="0" borderId="0" xfId="0" applyFont="1" applyAlignment="1">
      <alignment wrapText="1"/>
    </xf>
    <xf numFmtId="0" fontId="59" fillId="5" borderId="78" xfId="1" applyNumberFormat="1" applyFont="1" applyFill="1" applyBorder="1" applyAlignment="1">
      <alignment horizontal="center" vertical="center" wrapText="1"/>
    </xf>
    <xf numFmtId="0" fontId="54" fillId="0" borderId="0" xfId="0" applyFont="1" applyAlignment="1">
      <alignment wrapText="1"/>
    </xf>
    <xf numFmtId="0" fontId="41" fillId="5" borderId="2" xfId="0" applyFont="1" applyFill="1" applyBorder="1" applyAlignment="1">
      <alignment horizontal="center" vertical="center" wrapText="1"/>
    </xf>
    <xf numFmtId="0" fontId="41" fillId="5" borderId="71" xfId="0" applyFont="1" applyFill="1" applyBorder="1" applyAlignment="1">
      <alignment horizontal="center" vertical="center" wrapText="1"/>
    </xf>
    <xf numFmtId="0" fontId="51" fillId="0" borderId="94" xfId="0" applyFont="1" applyBorder="1" applyAlignment="1" applyProtection="1">
      <alignment horizontal="left" vertical="center" wrapText="1"/>
      <protection hidden="1"/>
    </xf>
    <xf numFmtId="0" fontId="51" fillId="0" borderId="95" xfId="0" applyFont="1" applyBorder="1" applyAlignment="1" applyProtection="1">
      <alignment horizontal="left" vertical="center" wrapText="1"/>
      <protection hidden="1"/>
    </xf>
    <xf numFmtId="0" fontId="41" fillId="5" borderId="7" xfId="0" applyFont="1" applyFill="1" applyBorder="1" applyAlignment="1">
      <alignment horizontal="center" vertical="center" wrapText="1"/>
    </xf>
    <xf numFmtId="0" fontId="41" fillId="5" borderId="30" xfId="0" applyFont="1" applyFill="1" applyBorder="1" applyAlignment="1">
      <alignment horizontal="center" vertical="center" wrapText="1"/>
    </xf>
    <xf numFmtId="0" fontId="41" fillId="5" borderId="12" xfId="0" applyFont="1" applyFill="1" applyBorder="1" applyAlignment="1">
      <alignment horizontal="center" vertical="center" wrapText="1"/>
    </xf>
    <xf numFmtId="0" fontId="41" fillId="5" borderId="58" xfId="0" applyFont="1" applyFill="1" applyBorder="1" applyAlignment="1">
      <alignment horizontal="center" vertical="center" wrapText="1"/>
    </xf>
    <xf numFmtId="0" fontId="41" fillId="5" borderId="59" xfId="0" applyFont="1" applyFill="1" applyBorder="1" applyAlignment="1">
      <alignment horizontal="center" vertical="center" wrapText="1"/>
    </xf>
    <xf numFmtId="0" fontId="41" fillId="5" borderId="118" xfId="0" applyFont="1" applyFill="1" applyBorder="1" applyAlignment="1">
      <alignment horizontal="center" vertical="center" wrapText="1"/>
    </xf>
    <xf numFmtId="0" fontId="47" fillId="0" borderId="0" xfId="0" applyFont="1" applyAlignment="1">
      <alignment wrapText="1"/>
    </xf>
    <xf numFmtId="0" fontId="47" fillId="0" borderId="0" xfId="0" applyFont="1" applyAlignment="1">
      <alignment vertical="top" wrapText="1"/>
    </xf>
    <xf numFmtId="0" fontId="49" fillId="0" borderId="0" xfId="0" applyFont="1" applyAlignment="1">
      <alignment wrapText="1"/>
    </xf>
    <xf numFmtId="0" fontId="2" fillId="0" borderId="0" xfId="0" applyFont="1"/>
    <xf numFmtId="0" fontId="2" fillId="0" borderId="0" xfId="0" applyFont="1" applyAlignment="1">
      <alignment wrapText="1"/>
    </xf>
    <xf numFmtId="0" fontId="2" fillId="17" borderId="0" xfId="0" applyFont="1" applyFill="1"/>
    <xf numFmtId="0" fontId="2" fillId="0" borderId="2" xfId="0" applyFont="1" applyBorder="1"/>
    <xf numFmtId="14" fontId="2" fillId="0" borderId="2" xfId="0" applyNumberFormat="1" applyFont="1" applyBorder="1"/>
    <xf numFmtId="0" fontId="2" fillId="15" borderId="2" xfId="0" applyFont="1" applyFill="1" applyBorder="1"/>
    <xf numFmtId="2" fontId="2" fillId="0" borderId="0" xfId="0" applyNumberFormat="1" applyFont="1"/>
    <xf numFmtId="167" fontId="2" fillId="0" borderId="0" xfId="0" applyNumberFormat="1" applyFont="1"/>
    <xf numFmtId="3" fontId="2" fillId="0" borderId="2" xfId="0" applyNumberFormat="1" applyFont="1" applyBorder="1"/>
    <xf numFmtId="3" fontId="2" fillId="0" borderId="0" xfId="0" applyNumberFormat="1" applyFont="1"/>
    <xf numFmtId="0" fontId="2" fillId="7" borderId="2" xfId="0" applyFont="1" applyFill="1" applyBorder="1"/>
    <xf numFmtId="0" fontId="83" fillId="0" borderId="0" xfId="0" applyFont="1" applyAlignment="1">
      <alignment horizontal="left"/>
    </xf>
    <xf numFmtId="0" fontId="44" fillId="0" borderId="0" xfId="0" applyFont="1" applyAlignment="1">
      <alignment vertical="top" wrapText="1"/>
    </xf>
    <xf numFmtId="0" fontId="77" fillId="0" borderId="0" xfId="0" applyFont="1" applyAlignment="1">
      <alignment horizontal="center"/>
    </xf>
    <xf numFmtId="0" fontId="41" fillId="0" borderId="54" xfId="0" applyFont="1" applyBorder="1" applyAlignment="1">
      <alignment horizontal="left" vertical="center" wrapText="1"/>
    </xf>
    <xf numFmtId="0" fontId="41" fillId="0" borderId="67" xfId="0" applyFont="1" applyBorder="1" applyAlignment="1">
      <alignment horizontal="left" vertical="center" wrapText="1"/>
    </xf>
    <xf numFmtId="0" fontId="41" fillId="0" borderId="55" xfId="0" applyFont="1" applyBorder="1" applyAlignment="1">
      <alignment horizontal="left" vertical="center" wrapText="1"/>
    </xf>
    <xf numFmtId="0" fontId="41" fillId="0" borderId="68" xfId="0" applyFont="1" applyBorder="1" applyAlignment="1">
      <alignment horizontal="left" vertical="center" wrapText="1"/>
    </xf>
    <xf numFmtId="0" fontId="41" fillId="0" borderId="0" xfId="0" applyFont="1" applyAlignment="1">
      <alignment horizontal="left" vertical="center" wrapText="1"/>
    </xf>
    <xf numFmtId="0" fontId="41" fillId="0" borderId="69" xfId="0" applyFont="1" applyBorder="1" applyAlignment="1">
      <alignment horizontal="left" vertical="center" wrapText="1"/>
    </xf>
    <xf numFmtId="0" fontId="41" fillId="0" borderId="25" xfId="0" applyFont="1" applyBorder="1" applyAlignment="1">
      <alignment horizontal="left" vertical="center" wrapText="1"/>
    </xf>
    <xf numFmtId="0" fontId="41" fillId="0" borderId="18" xfId="0" applyFont="1" applyBorder="1" applyAlignment="1">
      <alignment horizontal="left" vertical="center" wrapText="1"/>
    </xf>
    <xf numFmtId="0" fontId="41" fillId="0" borderId="42" xfId="0" applyFont="1" applyBorder="1" applyAlignment="1">
      <alignment horizontal="left" vertical="center" wrapText="1"/>
    </xf>
    <xf numFmtId="0" fontId="37" fillId="0" borderId="0" xfId="0" applyFont="1" applyAlignment="1">
      <alignment horizontal="center" wrapText="1"/>
    </xf>
    <xf numFmtId="0" fontId="41" fillId="0" borderId="2" xfId="0" applyFont="1" applyBorder="1" applyAlignment="1">
      <alignment vertical="center" wrapText="1"/>
    </xf>
    <xf numFmtId="0" fontId="41" fillId="0" borderId="3" xfId="0" applyFont="1" applyBorder="1" applyAlignment="1">
      <alignment vertical="center" wrapText="1"/>
    </xf>
    <xf numFmtId="0" fontId="41" fillId="0" borderId="17" xfId="0" applyFont="1" applyBorder="1" applyAlignment="1">
      <alignment vertical="center" wrapText="1"/>
    </xf>
    <xf numFmtId="0" fontId="41" fillId="0" borderId="19" xfId="0" applyFont="1" applyBorder="1" applyAlignment="1">
      <alignment vertical="center" wrapText="1"/>
    </xf>
    <xf numFmtId="0" fontId="41" fillId="0" borderId="54" xfId="0" applyFont="1" applyBorder="1" applyAlignment="1">
      <alignment vertical="center" wrapText="1"/>
    </xf>
    <xf numFmtId="0" fontId="41" fillId="0" borderId="67" xfId="0" applyFont="1" applyBorder="1" applyAlignment="1">
      <alignment vertical="center" wrapText="1"/>
    </xf>
    <xf numFmtId="0" fontId="41" fillId="0" borderId="55" xfId="0" applyFont="1" applyBorder="1" applyAlignment="1">
      <alignment vertical="center" wrapText="1"/>
    </xf>
    <xf numFmtId="0" fontId="41" fillId="0" borderId="68" xfId="0" applyFont="1" applyBorder="1" applyAlignment="1">
      <alignment vertical="center" wrapText="1"/>
    </xf>
    <xf numFmtId="0" fontId="41" fillId="0" borderId="0" xfId="0" applyFont="1" applyAlignment="1">
      <alignment vertical="center" wrapText="1"/>
    </xf>
    <xf numFmtId="0" fontId="41" fillId="0" borderId="69" xfId="0" applyFont="1" applyBorder="1" applyAlignment="1">
      <alignment vertical="center" wrapText="1"/>
    </xf>
    <xf numFmtId="0" fontId="41" fillId="0" borderId="25" xfId="0" applyFont="1" applyBorder="1" applyAlignment="1">
      <alignment vertical="center" wrapText="1"/>
    </xf>
    <xf numFmtId="0" fontId="41" fillId="0" borderId="18" xfId="0" applyFont="1" applyBorder="1" applyAlignment="1">
      <alignment vertical="center" wrapText="1"/>
    </xf>
    <xf numFmtId="0" fontId="41" fillId="0" borderId="42" xfId="0" applyFont="1" applyBorder="1" applyAlignment="1">
      <alignment vertical="center" wrapText="1"/>
    </xf>
    <xf numFmtId="0" fontId="45" fillId="0" borderId="0" xfId="0" quotePrefix="1" applyFont="1" applyAlignment="1">
      <alignment horizontal="left" wrapText="1"/>
    </xf>
    <xf numFmtId="0" fontId="42" fillId="5" borderId="23" xfId="0" applyFont="1" applyFill="1" applyBorder="1" applyAlignment="1" applyProtection="1">
      <alignment vertical="center" wrapText="1"/>
      <protection hidden="1"/>
    </xf>
    <xf numFmtId="0" fontId="42" fillId="5" borderId="6" xfId="0" applyFont="1" applyFill="1" applyBorder="1" applyAlignment="1" applyProtection="1">
      <alignment vertical="center" wrapText="1"/>
      <protection hidden="1"/>
    </xf>
    <xf numFmtId="0" fontId="41" fillId="5" borderId="62" xfId="0" applyFont="1" applyFill="1" applyBorder="1" applyAlignment="1">
      <alignment horizontal="center" vertical="center" wrapText="1"/>
    </xf>
    <xf numFmtId="0" fontId="41" fillId="5" borderId="56" xfId="0" applyFont="1" applyFill="1" applyBorder="1" applyAlignment="1">
      <alignment horizontal="center" vertical="center" wrapText="1"/>
    </xf>
    <xf numFmtId="0" fontId="45" fillId="0" borderId="0" xfId="0" quotePrefix="1" applyFont="1"/>
    <xf numFmtId="0" fontId="41" fillId="5" borderId="60" xfId="0" applyFont="1" applyFill="1" applyBorder="1" applyAlignment="1">
      <alignment horizontal="center" vertical="center" wrapText="1"/>
    </xf>
    <xf numFmtId="0" fontId="41" fillId="5" borderId="40" xfId="0" applyFont="1" applyFill="1" applyBorder="1" applyAlignment="1">
      <alignment horizontal="center" vertical="center" wrapText="1"/>
    </xf>
    <xf numFmtId="0" fontId="41" fillId="14" borderId="64" xfId="0" applyFont="1" applyFill="1" applyBorder="1" applyAlignment="1">
      <alignment horizontal="center" vertical="center" wrapText="1"/>
    </xf>
    <xf numFmtId="0" fontId="41" fillId="14" borderId="65" xfId="0" applyFont="1" applyFill="1" applyBorder="1" applyAlignment="1">
      <alignment horizontal="center" vertical="center" wrapText="1"/>
    </xf>
    <xf numFmtId="0" fontId="42" fillId="5" borderId="20" xfId="0" applyFont="1" applyFill="1" applyBorder="1" applyAlignment="1" applyProtection="1">
      <alignment vertical="center" wrapText="1"/>
      <protection hidden="1"/>
    </xf>
    <xf numFmtId="0" fontId="42" fillId="5" borderId="21" xfId="0" applyFont="1" applyFill="1" applyBorder="1" applyAlignment="1" applyProtection="1">
      <alignment vertical="center" wrapText="1"/>
      <protection hidden="1"/>
    </xf>
    <xf numFmtId="0" fontId="41" fillId="5" borderId="61" xfId="0" applyFont="1" applyFill="1" applyBorder="1" applyAlignment="1">
      <alignment horizontal="center" vertical="center" wrapText="1"/>
    </xf>
    <xf numFmtId="0" fontId="41" fillId="5" borderId="41" xfId="0" applyFont="1" applyFill="1" applyBorder="1" applyAlignment="1">
      <alignment horizontal="center" vertical="center" wrapText="1"/>
    </xf>
    <xf numFmtId="0" fontId="45" fillId="0" borderId="0" xfId="0" quotePrefix="1" applyFont="1" applyAlignment="1">
      <alignment wrapText="1"/>
    </xf>
    <xf numFmtId="164" fontId="41" fillId="5" borderId="3" xfId="0" applyNumberFormat="1" applyFont="1" applyFill="1" applyBorder="1" applyAlignment="1">
      <alignment horizontal="center" vertical="center"/>
    </xf>
    <xf numFmtId="164" fontId="41" fillId="5" borderId="19" xfId="0" applyNumberFormat="1" applyFont="1" applyFill="1" applyBorder="1" applyAlignment="1">
      <alignment horizontal="center" vertical="center"/>
    </xf>
    <xf numFmtId="0" fontId="41" fillId="5" borderId="3" xfId="0" applyFont="1" applyFill="1" applyBorder="1" applyAlignment="1">
      <alignment horizontal="center" vertical="center" wrapText="1"/>
    </xf>
    <xf numFmtId="0" fontId="41" fillId="5" borderId="17" xfId="0" applyFont="1" applyFill="1" applyBorder="1" applyAlignment="1">
      <alignment horizontal="center" vertical="center" wrapText="1"/>
    </xf>
    <xf numFmtId="0" fontId="41" fillId="5" borderId="19" xfId="0" applyFont="1" applyFill="1" applyBorder="1" applyAlignment="1">
      <alignment horizontal="center" vertical="center" wrapText="1"/>
    </xf>
    <xf numFmtId="0" fontId="41" fillId="5" borderId="54" xfId="0" applyFont="1" applyFill="1" applyBorder="1" applyAlignment="1">
      <alignment horizontal="center" vertical="center" wrapText="1"/>
    </xf>
    <xf numFmtId="0" fontId="41" fillId="5" borderId="55" xfId="0" applyFont="1" applyFill="1" applyBorder="1" applyAlignment="1">
      <alignment horizontal="center" vertical="center" wrapText="1"/>
    </xf>
    <xf numFmtId="0" fontId="41" fillId="5" borderId="25" xfId="0" applyFont="1" applyFill="1" applyBorder="1" applyAlignment="1">
      <alignment horizontal="center" vertical="center" wrapText="1"/>
    </xf>
    <xf numFmtId="0" fontId="41" fillId="5" borderId="42" xfId="0" applyFont="1" applyFill="1" applyBorder="1" applyAlignment="1">
      <alignment horizontal="center" vertical="center" wrapText="1"/>
    </xf>
    <xf numFmtId="14" fontId="47" fillId="0" borderId="3" xfId="5" applyNumberFormat="1" applyFont="1" applyFill="1" applyBorder="1" applyAlignment="1" applyProtection="1">
      <alignment horizontal="left" vertical="center"/>
      <protection locked="0"/>
    </xf>
    <xf numFmtId="14" fontId="47" fillId="0" borderId="17" xfId="5" applyNumberFormat="1" applyFont="1" applyFill="1" applyBorder="1" applyAlignment="1" applyProtection="1">
      <alignment horizontal="left" vertical="center"/>
      <protection locked="0"/>
    </xf>
    <xf numFmtId="14" fontId="47" fillId="0" borderId="19" xfId="5" applyNumberFormat="1" applyFont="1" applyFill="1" applyBorder="1" applyAlignment="1" applyProtection="1">
      <alignment horizontal="left" vertical="center"/>
      <protection locked="0"/>
    </xf>
    <xf numFmtId="0" fontId="42" fillId="0" borderId="3" xfId="0" applyFont="1" applyBorder="1" applyAlignment="1" applyProtection="1">
      <alignment horizontal="left" vertical="center"/>
      <protection locked="0"/>
    </xf>
    <xf numFmtId="0" fontId="42" fillId="0" borderId="17" xfId="0" applyFont="1" applyBorder="1" applyAlignment="1" applyProtection="1">
      <alignment horizontal="left" vertical="center"/>
      <protection locked="0"/>
    </xf>
    <xf numFmtId="0" fontId="42" fillId="0" borderId="19" xfId="0" applyFont="1" applyBorder="1" applyAlignment="1" applyProtection="1">
      <alignment horizontal="left" vertical="center"/>
      <protection locked="0"/>
    </xf>
    <xf numFmtId="0" fontId="42" fillId="0" borderId="2" xfId="0" applyFont="1" applyBorder="1" applyAlignment="1" applyProtection="1">
      <alignment horizontal="left" vertical="center"/>
      <protection locked="0"/>
    </xf>
    <xf numFmtId="0" fontId="41" fillId="5" borderId="64" xfId="0" applyFont="1" applyFill="1" applyBorder="1" applyAlignment="1">
      <alignment horizontal="center" vertical="center" wrapText="1"/>
    </xf>
    <xf numFmtId="0" fontId="41" fillId="5" borderId="65" xfId="0" applyFont="1" applyFill="1" applyBorder="1" applyAlignment="1">
      <alignment horizontal="center" vertical="center" wrapText="1"/>
    </xf>
    <xf numFmtId="0" fontId="41" fillId="0" borderId="0" xfId="0" applyFont="1" applyAlignment="1">
      <alignment horizontal="right" vertical="center" wrapText="1"/>
    </xf>
    <xf numFmtId="0" fontId="41" fillId="0" borderId="69" xfId="0" applyFont="1" applyBorder="1" applyAlignment="1">
      <alignment horizontal="right" vertical="center" wrapText="1"/>
    </xf>
    <xf numFmtId="0" fontId="47" fillId="5" borderId="45" xfId="0" applyFont="1" applyFill="1" applyBorder="1" applyAlignment="1">
      <alignment vertical="center"/>
    </xf>
    <xf numFmtId="0" fontId="47" fillId="5" borderId="38" xfId="0" applyFont="1" applyFill="1" applyBorder="1" applyAlignment="1">
      <alignment vertical="center"/>
    </xf>
    <xf numFmtId="0" fontId="42" fillId="5" borderId="33" xfId="0" applyFont="1" applyFill="1" applyBorder="1" applyAlignment="1">
      <alignment vertical="center" wrapText="1"/>
    </xf>
    <xf numFmtId="0" fontId="42" fillId="5" borderId="37" xfId="0" applyFont="1" applyFill="1" applyBorder="1" applyAlignment="1">
      <alignment vertical="center" wrapText="1"/>
    </xf>
    <xf numFmtId="0" fontId="47" fillId="5" borderId="47" xfId="0" applyFont="1" applyFill="1" applyBorder="1" applyAlignment="1">
      <alignment vertical="center"/>
    </xf>
    <xf numFmtId="0" fontId="47" fillId="5" borderId="36" xfId="0" applyFont="1" applyFill="1" applyBorder="1" applyAlignment="1">
      <alignment vertical="center"/>
    </xf>
    <xf numFmtId="0" fontId="41" fillId="5" borderId="3" xfId="0" applyFont="1" applyFill="1" applyBorder="1" applyAlignment="1">
      <alignment vertical="center" wrapText="1"/>
    </xf>
    <xf numFmtId="0" fontId="41" fillId="5" borderId="17" xfId="0" applyFont="1" applyFill="1" applyBorder="1" applyAlignment="1">
      <alignment vertical="center" wrapText="1"/>
    </xf>
    <xf numFmtId="0" fontId="47" fillId="5" borderId="46" xfId="0" applyFont="1" applyFill="1" applyBorder="1" applyAlignment="1">
      <alignment vertical="center"/>
    </xf>
    <xf numFmtId="0" fontId="47" fillId="5" borderId="63" xfId="0" applyFont="1" applyFill="1" applyBorder="1" applyAlignment="1">
      <alignment vertical="center"/>
    </xf>
    <xf numFmtId="0" fontId="41" fillId="5" borderId="31" xfId="0" applyFont="1" applyFill="1" applyBorder="1" applyAlignment="1">
      <alignment vertical="center" wrapText="1"/>
    </xf>
    <xf numFmtId="0" fontId="41" fillId="5" borderId="19" xfId="0" applyFont="1" applyFill="1" applyBorder="1" applyAlignment="1">
      <alignment vertical="center" wrapText="1"/>
    </xf>
    <xf numFmtId="0" fontId="42" fillId="5" borderId="32" xfId="0" applyFont="1" applyFill="1" applyBorder="1" applyAlignment="1">
      <alignment vertical="center" wrapText="1"/>
    </xf>
    <xf numFmtId="0" fontId="42" fillId="5" borderId="66" xfId="0" applyFont="1" applyFill="1" applyBorder="1" applyAlignment="1">
      <alignment vertical="center" wrapText="1"/>
    </xf>
    <xf numFmtId="0" fontId="51" fillId="0" borderId="94" xfId="0" applyFont="1" applyBorder="1" applyAlignment="1" applyProtection="1">
      <alignment vertical="center" wrapText="1"/>
      <protection hidden="1"/>
    </xf>
    <xf numFmtId="0" fontId="51" fillId="0" borderId="95" xfId="0" applyFont="1" applyBorder="1" applyAlignment="1" applyProtection="1">
      <alignment vertical="center" wrapText="1"/>
      <protection hidden="1"/>
    </xf>
    <xf numFmtId="0" fontId="42" fillId="0" borderId="2" xfId="0" applyFont="1" applyBorder="1" applyAlignment="1" applyProtection="1">
      <alignment horizontal="left" vertical="center" indent="1"/>
      <protection locked="0"/>
    </xf>
    <xf numFmtId="0" fontId="51" fillId="0" borderId="137" xfId="0" applyFont="1" applyBorder="1" applyAlignment="1" applyProtection="1">
      <alignment vertical="center" wrapText="1"/>
      <protection hidden="1"/>
    </xf>
    <xf numFmtId="0" fontId="42" fillId="0" borderId="68" xfId="0" applyFont="1" applyBorder="1" applyAlignment="1" applyProtection="1">
      <alignment horizontal="center" vertical="center"/>
      <protection locked="0" hidden="1"/>
    </xf>
    <xf numFmtId="0" fontId="42" fillId="0" borderId="0" xfId="0" applyFont="1" applyAlignment="1" applyProtection="1">
      <alignment horizontal="center" vertical="center"/>
      <protection locked="0" hidden="1"/>
    </xf>
    <xf numFmtId="0" fontId="51" fillId="0" borderId="99" xfId="0" applyFont="1" applyBorder="1" applyAlignment="1" applyProtection="1">
      <alignment vertical="top" wrapText="1"/>
      <protection hidden="1"/>
    </xf>
    <xf numFmtId="0" fontId="51" fillId="0" borderId="115" xfId="0" applyFont="1" applyBorder="1" applyAlignment="1" applyProtection="1">
      <alignment vertical="top" wrapText="1"/>
      <protection hidden="1"/>
    </xf>
    <xf numFmtId="0" fontId="51" fillId="0" borderId="100" xfId="0" applyFont="1" applyBorder="1" applyAlignment="1" applyProtection="1">
      <alignment vertical="top" wrapText="1"/>
      <protection hidden="1"/>
    </xf>
    <xf numFmtId="0" fontId="59" fillId="5" borderId="2" xfId="0" applyFont="1" applyFill="1" applyBorder="1" applyAlignment="1">
      <alignment horizontal="center" vertical="center" wrapText="1"/>
    </xf>
    <xf numFmtId="0" fontId="59" fillId="5" borderId="3" xfId="0" applyFont="1" applyFill="1" applyBorder="1" applyAlignment="1">
      <alignment horizontal="center" vertical="center" wrapText="1"/>
    </xf>
    <xf numFmtId="0" fontId="42" fillId="0" borderId="92" xfId="0" applyFont="1" applyBorder="1" applyAlignment="1" applyProtection="1">
      <alignment horizontal="left" vertical="center"/>
      <protection locked="0"/>
    </xf>
    <xf numFmtId="0" fontId="42" fillId="0" borderId="106" xfId="0" applyFont="1" applyBorder="1" applyAlignment="1" applyProtection="1">
      <alignment horizontal="left" vertical="center"/>
      <protection locked="0"/>
    </xf>
    <xf numFmtId="0" fontId="42" fillId="0" borderId="90" xfId="0" applyFont="1" applyBorder="1" applyAlignment="1" applyProtection="1">
      <alignment horizontal="left" vertical="center"/>
      <protection locked="0"/>
    </xf>
    <xf numFmtId="0" fontId="42" fillId="0" borderId="33" xfId="0" applyFont="1" applyBorder="1" applyAlignment="1" applyProtection="1">
      <alignment horizontal="left" vertical="center"/>
      <protection locked="0"/>
    </xf>
    <xf numFmtId="0" fontId="42" fillId="0" borderId="36" xfId="0" applyFont="1" applyBorder="1" applyAlignment="1" applyProtection="1">
      <alignment horizontal="left" vertical="center"/>
      <protection locked="0"/>
    </xf>
    <xf numFmtId="0" fontId="42" fillId="0" borderId="37" xfId="0" applyFont="1" applyBorder="1" applyAlignment="1" applyProtection="1">
      <alignment horizontal="left" vertical="center"/>
      <protection locked="0"/>
    </xf>
    <xf numFmtId="0" fontId="42" fillId="0" borderId="45" xfId="0" applyFont="1" applyBorder="1" applyAlignment="1" applyProtection="1">
      <alignment horizontal="left" vertical="center"/>
      <protection locked="0"/>
    </xf>
    <xf numFmtId="0" fontId="42" fillId="0" borderId="38" xfId="0" applyFont="1" applyBorder="1" applyAlignment="1" applyProtection="1">
      <alignment horizontal="left" vertical="center"/>
      <protection locked="0"/>
    </xf>
    <xf numFmtId="0" fontId="42" fillId="0" borderId="39" xfId="0" applyFont="1" applyBorder="1" applyAlignment="1" applyProtection="1">
      <alignment horizontal="left" vertical="center"/>
      <protection locked="0"/>
    </xf>
    <xf numFmtId="0" fontId="66" fillId="5" borderId="77" xfId="0" applyFont="1" applyFill="1" applyBorder="1" applyAlignment="1">
      <alignment horizontal="left" vertical="center" wrapText="1"/>
    </xf>
    <xf numFmtId="0" fontId="66" fillId="5" borderId="76" xfId="0" applyFont="1" applyFill="1" applyBorder="1" applyAlignment="1">
      <alignment horizontal="left" vertical="center" wrapText="1"/>
    </xf>
    <xf numFmtId="0" fontId="41" fillId="5" borderId="78" xfId="0" applyFont="1" applyFill="1" applyBorder="1" applyAlignment="1">
      <alignment horizontal="left" vertical="center" wrapText="1"/>
    </xf>
    <xf numFmtId="0" fontId="41" fillId="5" borderId="3" xfId="0" applyFont="1" applyFill="1" applyBorder="1" applyAlignment="1">
      <alignment horizontal="right" vertical="center" wrapText="1"/>
    </xf>
    <xf numFmtId="0" fontId="41" fillId="5" borderId="17" xfId="0" applyFont="1" applyFill="1" applyBorder="1" applyAlignment="1">
      <alignment horizontal="right" vertical="center" wrapText="1"/>
    </xf>
    <xf numFmtId="0" fontId="54" fillId="0" borderId="0" xfId="0" applyFont="1" applyAlignment="1">
      <alignment wrapText="1"/>
    </xf>
    <xf numFmtId="0" fontId="41" fillId="5" borderId="2" xfId="0" applyFont="1" applyFill="1" applyBorder="1" applyAlignment="1">
      <alignment horizontal="center" vertical="center" wrapText="1"/>
    </xf>
    <xf numFmtId="0" fontId="41" fillId="5" borderId="71" xfId="0" applyFont="1" applyFill="1" applyBorder="1" applyAlignment="1">
      <alignment horizontal="center" vertical="center" wrapText="1"/>
    </xf>
    <xf numFmtId="0" fontId="59" fillId="5" borderId="25" xfId="0" applyFont="1" applyFill="1" applyBorder="1" applyAlignment="1">
      <alignment horizontal="center"/>
    </xf>
    <xf numFmtId="0" fontId="59" fillId="5" borderId="18" xfId="0" applyFont="1" applyFill="1" applyBorder="1" applyAlignment="1">
      <alignment horizontal="center"/>
    </xf>
    <xf numFmtId="0" fontId="59" fillId="5" borderId="42" xfId="0" applyFont="1" applyFill="1" applyBorder="1" applyAlignment="1">
      <alignment horizontal="center"/>
    </xf>
    <xf numFmtId="0" fontId="41" fillId="5" borderId="3" xfId="0" applyFont="1" applyFill="1" applyBorder="1" applyAlignment="1">
      <alignment horizontal="center"/>
    </xf>
    <xf numFmtId="0" fontId="41" fillId="5" borderId="17" xfId="0" applyFont="1" applyFill="1" applyBorder="1" applyAlignment="1">
      <alignment horizontal="center"/>
    </xf>
    <xf numFmtId="0" fontId="41" fillId="5" borderId="19" xfId="0" applyFont="1" applyFill="1" applyBorder="1" applyAlignment="1">
      <alignment horizontal="center"/>
    </xf>
    <xf numFmtId="0" fontId="60" fillId="0" borderId="93" xfId="0" applyFont="1" applyBorder="1" applyAlignment="1">
      <alignment horizontal="center" vertical="center" wrapText="1"/>
    </xf>
    <xf numFmtId="0" fontId="60" fillId="0" borderId="98" xfId="0" applyFont="1" applyBorder="1" applyAlignment="1">
      <alignment horizontal="center" vertical="center" wrapText="1"/>
    </xf>
    <xf numFmtId="0" fontId="62" fillId="0" borderId="0" xfId="0" applyFont="1" applyAlignment="1">
      <alignment wrapText="1"/>
    </xf>
    <xf numFmtId="0" fontId="59" fillId="5" borderId="77" xfId="0" applyFont="1" applyFill="1" applyBorder="1" applyAlignment="1">
      <alignment horizontal="center" vertical="center" wrapText="1"/>
    </xf>
    <xf numFmtId="0" fontId="59" fillId="5" borderId="78" xfId="0" applyFont="1" applyFill="1" applyBorder="1" applyAlignment="1">
      <alignment horizontal="center" vertical="center" wrapText="1"/>
    </xf>
    <xf numFmtId="0" fontId="59" fillId="5" borderId="77" xfId="1" applyNumberFormat="1" applyFont="1" applyFill="1" applyBorder="1" applyAlignment="1">
      <alignment horizontal="center" vertical="center" wrapText="1"/>
    </xf>
    <xf numFmtId="0" fontId="59" fillId="5" borderId="78" xfId="1" applyNumberFormat="1" applyFont="1" applyFill="1" applyBorder="1" applyAlignment="1">
      <alignment horizontal="center" vertical="center" wrapText="1"/>
    </xf>
    <xf numFmtId="0" fontId="42" fillId="0" borderId="104" xfId="0" applyFont="1" applyBorder="1" applyAlignment="1" applyProtection="1">
      <alignment horizontal="center" vertical="center" wrapText="1"/>
      <protection locked="0"/>
    </xf>
    <xf numFmtId="0" fontId="42" fillId="0" borderId="90" xfId="0" applyFont="1" applyBorder="1" applyAlignment="1" applyProtection="1">
      <alignment horizontal="center" vertical="center" wrapText="1"/>
      <protection locked="0"/>
    </xf>
    <xf numFmtId="0" fontId="42" fillId="0" borderId="47" xfId="0" applyFont="1" applyBorder="1" applyAlignment="1" applyProtection="1">
      <alignment horizontal="center" vertical="center" wrapText="1"/>
      <protection locked="0"/>
    </xf>
    <xf numFmtId="0" fontId="42" fillId="0" borderId="37" xfId="0" applyFont="1" applyBorder="1" applyAlignment="1" applyProtection="1">
      <alignment horizontal="center" vertical="center" wrapText="1"/>
      <protection locked="0"/>
    </xf>
    <xf numFmtId="0" fontId="42" fillId="0" borderId="45" xfId="0" applyFont="1" applyBorder="1" applyAlignment="1" applyProtection="1">
      <alignment horizontal="center" vertical="center" wrapText="1"/>
      <protection locked="0"/>
    </xf>
    <xf numFmtId="0" fontId="42" fillId="0" borderId="39" xfId="0" applyFont="1" applyBorder="1" applyAlignment="1" applyProtection="1">
      <alignment horizontal="center" vertical="center" wrapText="1"/>
      <protection locked="0"/>
    </xf>
    <xf numFmtId="0" fontId="42" fillId="5" borderId="45" xfId="0" applyFont="1" applyFill="1" applyBorder="1" applyAlignment="1">
      <alignment horizontal="left"/>
    </xf>
    <xf numFmtId="0" fontId="42" fillId="5" borderId="39" xfId="0" applyFont="1" applyFill="1" applyBorder="1" applyAlignment="1">
      <alignment horizontal="left"/>
    </xf>
    <xf numFmtId="0" fontId="52" fillId="5" borderId="25" xfId="0" applyFont="1" applyFill="1" applyBorder="1"/>
    <xf numFmtId="0" fontId="52" fillId="5" borderId="42" xfId="0" applyFont="1" applyFill="1" applyBorder="1"/>
    <xf numFmtId="0" fontId="59" fillId="5" borderId="54" xfId="0" applyFont="1" applyFill="1" applyBorder="1"/>
    <xf numFmtId="0" fontId="59" fillId="5" borderId="55" xfId="0" applyFont="1" applyFill="1" applyBorder="1"/>
    <xf numFmtId="0" fontId="59" fillId="5" borderId="85" xfId="0" applyFont="1" applyFill="1" applyBorder="1" applyAlignment="1">
      <alignment horizontal="center"/>
    </xf>
    <xf numFmtId="0" fontId="59" fillId="5" borderId="86" xfId="0" applyFont="1" applyFill="1" applyBorder="1" applyAlignment="1">
      <alignment horizontal="center"/>
    </xf>
    <xf numFmtId="0" fontId="42" fillId="5" borderId="47" xfId="0" applyFont="1" applyFill="1" applyBorder="1" applyAlignment="1">
      <alignment horizontal="left"/>
    </xf>
    <xf numFmtId="0" fontId="42" fillId="5" borderId="37" xfId="0" applyFont="1" applyFill="1" applyBorder="1" applyAlignment="1">
      <alignment horizontal="left"/>
    </xf>
    <xf numFmtId="0" fontId="42" fillId="0" borderId="47" xfId="0" applyFont="1" applyBorder="1" applyAlignment="1" applyProtection="1">
      <alignment horizontal="left"/>
      <protection locked="0"/>
    </xf>
    <xf numFmtId="0" fontId="42" fillId="0" borderId="37" xfId="0" applyFont="1" applyBorder="1" applyAlignment="1" applyProtection="1">
      <alignment horizontal="left"/>
      <protection locked="0"/>
    </xf>
    <xf numFmtId="0" fontId="42" fillId="5" borderId="47" xfId="0" applyFont="1" applyFill="1" applyBorder="1"/>
    <xf numFmtId="0" fontId="42" fillId="5" borderId="37" xfId="0" applyFont="1" applyFill="1" applyBorder="1"/>
    <xf numFmtId="0" fontId="42" fillId="5" borderId="104" xfId="0" applyFont="1" applyFill="1" applyBorder="1"/>
    <xf numFmtId="0" fontId="42" fillId="5" borderId="90" xfId="0" applyFont="1" applyFill="1" applyBorder="1"/>
    <xf numFmtId="0" fontId="59" fillId="5" borderId="70" xfId="0" applyFont="1" applyFill="1" applyBorder="1" applyAlignment="1">
      <alignment horizontal="center"/>
    </xf>
    <xf numFmtId="9" fontId="42" fillId="5" borderId="2" xfId="3" applyFont="1" applyFill="1" applyBorder="1" applyAlignment="1">
      <alignment horizontal="center" vertical="center"/>
    </xf>
    <xf numFmtId="3" fontId="42" fillId="0" borderId="47" xfId="0" applyNumberFormat="1" applyFont="1" applyBorder="1" applyProtection="1">
      <protection locked="0"/>
    </xf>
    <xf numFmtId="3" fontId="42" fillId="0" borderId="37" xfId="0" applyNumberFormat="1" applyFont="1" applyBorder="1" applyProtection="1">
      <protection locked="0"/>
    </xf>
    <xf numFmtId="0" fontId="59" fillId="5" borderId="64" xfId="0" applyFont="1" applyFill="1" applyBorder="1" applyAlignment="1">
      <alignment horizontal="center" vertical="center" wrapText="1"/>
    </xf>
    <xf numFmtId="0" fontId="59" fillId="5" borderId="79" xfId="0" applyFont="1" applyFill="1" applyBorder="1" applyAlignment="1">
      <alignment horizontal="center" vertical="center" wrapText="1"/>
    </xf>
    <xf numFmtId="0" fontId="59" fillId="5" borderId="54" xfId="0" applyFont="1" applyFill="1" applyBorder="1" applyAlignment="1">
      <alignment horizontal="center" vertical="center"/>
    </xf>
    <xf numFmtId="0" fontId="59" fillId="5" borderId="55" xfId="0" applyFont="1" applyFill="1" applyBorder="1" applyAlignment="1">
      <alignment horizontal="center" vertical="center"/>
    </xf>
    <xf numFmtId="0" fontId="59" fillId="5" borderId="85" xfId="0" applyFont="1" applyFill="1" applyBorder="1" applyAlignment="1">
      <alignment horizontal="center" vertical="center"/>
    </xf>
    <xf numFmtId="0" fontId="59" fillId="5" borderId="86" xfId="0" applyFont="1" applyFill="1" applyBorder="1" applyAlignment="1">
      <alignment horizontal="center" vertical="center"/>
    </xf>
    <xf numFmtId="0" fontId="42" fillId="5" borderId="54" xfId="0" applyFont="1" applyFill="1" applyBorder="1" applyAlignment="1">
      <alignment vertical="center" wrapText="1"/>
    </xf>
    <xf numFmtId="0" fontId="42" fillId="5" borderId="55" xfId="0" applyFont="1" applyFill="1" applyBorder="1" applyAlignment="1">
      <alignment vertical="center" wrapText="1"/>
    </xf>
    <xf numFmtId="0" fontId="42" fillId="5" borderId="25" xfId="0" applyFont="1" applyFill="1" applyBorder="1" applyAlignment="1">
      <alignment vertical="center" wrapText="1"/>
    </xf>
    <xf numFmtId="0" fontId="42" fillId="5" borderId="42" xfId="0" applyFont="1" applyFill="1" applyBorder="1" applyAlignment="1">
      <alignment vertical="center" wrapText="1"/>
    </xf>
    <xf numFmtId="0" fontId="59" fillId="5" borderId="44" xfId="0" applyFont="1" applyFill="1" applyBorder="1" applyAlignment="1">
      <alignment horizontal="center"/>
    </xf>
    <xf numFmtId="0" fontId="59" fillId="5" borderId="58" xfId="0" applyFont="1" applyFill="1" applyBorder="1" applyAlignment="1">
      <alignment horizontal="center"/>
    </xf>
    <xf numFmtId="0" fontId="59" fillId="5" borderId="59" xfId="0" applyFont="1" applyFill="1" applyBorder="1" applyAlignment="1">
      <alignment horizontal="center"/>
    </xf>
    <xf numFmtId="3" fontId="42" fillId="5" borderId="47" xfId="0" applyNumberFormat="1" applyFont="1" applyFill="1" applyBorder="1"/>
    <xf numFmtId="3" fontId="42" fillId="5" borderId="36" xfId="0" applyNumberFormat="1" applyFont="1" applyFill="1" applyBorder="1"/>
    <xf numFmtId="3" fontId="42" fillId="5" borderId="47" xfId="0" applyNumberFormat="1" applyFont="1" applyFill="1" applyBorder="1" applyProtection="1">
      <protection locked="0"/>
    </xf>
    <xf numFmtId="3" fontId="42" fillId="5" borderId="36" xfId="0" applyNumberFormat="1" applyFont="1" applyFill="1" applyBorder="1" applyProtection="1">
      <protection locked="0"/>
    </xf>
    <xf numFmtId="3" fontId="42" fillId="0" borderId="36" xfId="0" applyNumberFormat="1" applyFont="1" applyBorder="1" applyProtection="1">
      <protection locked="0"/>
    </xf>
    <xf numFmtId="0" fontId="51" fillId="0" borderId="94" xfId="0" applyFont="1" applyBorder="1" applyAlignment="1" applyProtection="1">
      <alignment horizontal="left" vertical="center" wrapText="1"/>
      <protection hidden="1"/>
    </xf>
    <xf numFmtId="0" fontId="51" fillId="0" borderId="95" xfId="0" applyFont="1" applyBorder="1" applyAlignment="1" applyProtection="1">
      <alignment horizontal="left" vertical="center" wrapText="1"/>
      <protection hidden="1"/>
    </xf>
    <xf numFmtId="0" fontId="70" fillId="5" borderId="54" xfId="0" applyFont="1" applyFill="1" applyBorder="1" applyAlignment="1">
      <alignment horizontal="left" vertical="center" wrapText="1"/>
    </xf>
    <xf numFmtId="0" fontId="70" fillId="5" borderId="25" xfId="0" applyFont="1" applyFill="1" applyBorder="1" applyAlignment="1">
      <alignment horizontal="left" vertical="center" wrapText="1"/>
    </xf>
    <xf numFmtId="0" fontId="70" fillId="5" borderId="107" xfId="0" applyFont="1" applyFill="1" applyBorder="1" applyAlignment="1">
      <alignment horizontal="left" vertical="center" wrapText="1"/>
    </xf>
    <xf numFmtId="9" fontId="42" fillId="0" borderId="103" xfId="3" applyFont="1" applyFill="1" applyBorder="1" applyAlignment="1" applyProtection="1">
      <alignment horizontal="center" vertical="center"/>
      <protection locked="0"/>
    </xf>
    <xf numFmtId="9" fontId="42" fillId="0" borderId="102" xfId="3" applyFont="1" applyFill="1" applyBorder="1" applyAlignment="1" applyProtection="1">
      <alignment horizontal="center" vertical="center"/>
      <protection locked="0"/>
    </xf>
    <xf numFmtId="9" fontId="42" fillId="0" borderId="57" xfId="3" applyFont="1" applyFill="1" applyBorder="1" applyAlignment="1" applyProtection="1">
      <alignment horizontal="center" vertical="center"/>
      <protection locked="0"/>
    </xf>
    <xf numFmtId="9" fontId="42" fillId="0" borderId="89" xfId="3" applyFont="1" applyFill="1" applyBorder="1" applyAlignment="1" applyProtection="1">
      <alignment horizontal="center" vertical="center"/>
      <protection locked="0"/>
    </xf>
    <xf numFmtId="9" fontId="42" fillId="0" borderId="108" xfId="3" applyFont="1" applyFill="1" applyBorder="1" applyAlignment="1" applyProtection="1">
      <alignment horizontal="center" vertical="center"/>
      <protection locked="0"/>
    </xf>
    <xf numFmtId="9" fontId="42" fillId="0" borderId="110" xfId="3" applyFont="1" applyFill="1" applyBorder="1" applyAlignment="1" applyProtection="1">
      <alignment horizontal="center" vertical="center"/>
      <protection locked="0"/>
    </xf>
    <xf numFmtId="9" fontId="42" fillId="0" borderId="34" xfId="3" applyFont="1" applyFill="1" applyBorder="1" applyAlignment="1" applyProtection="1">
      <alignment horizontal="center" vertical="center"/>
      <protection locked="0"/>
    </xf>
    <xf numFmtId="9" fontId="42" fillId="0" borderId="35" xfId="3" applyFont="1" applyFill="1" applyBorder="1" applyAlignment="1" applyProtection="1">
      <alignment horizontal="center" vertical="center"/>
      <protection locked="0"/>
    </xf>
    <xf numFmtId="9" fontId="42" fillId="0" borderId="92" xfId="3" applyFont="1" applyFill="1" applyBorder="1" applyAlignment="1" applyProtection="1">
      <alignment horizontal="center" vertical="center"/>
      <protection locked="0"/>
    </xf>
    <xf numFmtId="9" fontId="42" fillId="0" borderId="105" xfId="3" applyFont="1" applyFill="1" applyBorder="1" applyAlignment="1" applyProtection="1">
      <alignment horizontal="center" vertical="center"/>
      <protection locked="0"/>
    </xf>
    <xf numFmtId="9" fontId="42" fillId="0" borderId="32" xfId="3" applyFont="1" applyFill="1" applyBorder="1" applyAlignment="1" applyProtection="1">
      <alignment horizontal="center" vertical="center"/>
      <protection locked="0"/>
    </xf>
    <xf numFmtId="9" fontId="42" fillId="0" borderId="9" xfId="3" applyFont="1" applyFill="1" applyBorder="1" applyAlignment="1" applyProtection="1">
      <alignment horizontal="center" vertical="center"/>
      <protection locked="0"/>
    </xf>
    <xf numFmtId="0" fontId="59" fillId="5" borderId="67" xfId="0" applyFont="1" applyFill="1" applyBorder="1" applyAlignment="1">
      <alignment horizontal="center" vertical="center" wrapText="1"/>
    </xf>
    <xf numFmtId="0" fontId="59" fillId="5" borderId="55" xfId="0" applyFont="1" applyFill="1" applyBorder="1" applyAlignment="1">
      <alignment horizontal="center" vertical="center" wrapText="1"/>
    </xf>
    <xf numFmtId="0" fontId="59" fillId="5" borderId="70" xfId="0" applyFont="1" applyFill="1" applyBorder="1" applyAlignment="1">
      <alignment horizontal="center" vertical="center" wrapText="1"/>
    </xf>
    <xf numFmtId="0" fontId="59" fillId="5" borderId="86" xfId="0" applyFont="1" applyFill="1" applyBorder="1" applyAlignment="1">
      <alignment horizontal="center" vertical="center" wrapText="1"/>
    </xf>
    <xf numFmtId="0" fontId="59" fillId="5" borderId="111" xfId="0" applyFont="1" applyFill="1" applyBorder="1" applyAlignment="1">
      <alignment horizontal="center" vertical="center" wrapText="1"/>
    </xf>
    <xf numFmtId="0" fontId="59" fillId="5" borderId="112" xfId="0" applyFont="1" applyFill="1" applyBorder="1" applyAlignment="1">
      <alignment horizontal="center" vertical="center" wrapText="1"/>
    </xf>
    <xf numFmtId="0" fontId="59" fillId="5" borderId="108" xfId="0" applyFont="1" applyFill="1" applyBorder="1" applyAlignment="1">
      <alignment horizontal="center" vertical="center" wrapText="1"/>
    </xf>
    <xf numFmtId="0" fontId="59" fillId="5" borderId="110" xfId="0" applyFont="1" applyFill="1" applyBorder="1" applyAlignment="1">
      <alignment horizontal="center" vertical="center" wrapText="1"/>
    </xf>
    <xf numFmtId="0" fontId="59" fillId="5" borderId="31" xfId="0" applyFont="1" applyFill="1" applyBorder="1" applyAlignment="1">
      <alignment horizontal="center" vertical="center" wrapText="1"/>
    </xf>
    <xf numFmtId="0" fontId="59" fillId="5" borderId="11" xfId="0" applyFont="1" applyFill="1" applyBorder="1" applyAlignment="1">
      <alignment horizontal="center" vertical="center" wrapText="1"/>
    </xf>
    <xf numFmtId="0" fontId="59" fillId="5" borderId="109" xfId="0" applyFont="1" applyFill="1" applyBorder="1" applyAlignment="1">
      <alignment horizontal="center" vertical="center" wrapText="1"/>
    </xf>
    <xf numFmtId="0" fontId="59" fillId="5" borderId="72" xfId="0" applyFont="1" applyFill="1" applyBorder="1" applyAlignment="1">
      <alignment horizontal="center" vertical="center" wrapText="1"/>
    </xf>
    <xf numFmtId="0" fontId="62" fillId="0" borderId="0" xfId="0" applyFont="1"/>
    <xf numFmtId="0" fontId="59" fillId="0" borderId="0" xfId="0" applyFont="1"/>
    <xf numFmtId="3" fontId="36" fillId="5" borderId="3" xfId="0" applyNumberFormat="1" applyFont="1" applyFill="1" applyBorder="1"/>
    <xf numFmtId="3" fontId="36" fillId="5" borderId="17" xfId="0" applyNumberFormat="1" applyFont="1" applyFill="1" applyBorder="1"/>
    <xf numFmtId="0" fontId="51" fillId="0" borderId="99" xfId="0" applyFont="1" applyBorder="1" applyAlignment="1" applyProtection="1">
      <alignment horizontal="left" vertical="center" wrapText="1"/>
      <protection hidden="1"/>
    </xf>
    <xf numFmtId="0" fontId="51" fillId="0" borderId="115" xfId="0" applyFont="1" applyBorder="1" applyAlignment="1" applyProtection="1">
      <alignment horizontal="left" vertical="center" wrapText="1"/>
      <protection hidden="1"/>
    </xf>
    <xf numFmtId="0" fontId="51" fillId="0" borderId="100" xfId="0" applyFont="1" applyBorder="1" applyAlignment="1" applyProtection="1">
      <alignment horizontal="left" vertical="center" wrapText="1"/>
      <protection hidden="1"/>
    </xf>
    <xf numFmtId="0" fontId="59" fillId="5" borderId="116" xfId="0" applyFont="1" applyFill="1" applyBorder="1" applyAlignment="1">
      <alignment horizontal="center"/>
    </xf>
    <xf numFmtId="0" fontId="59" fillId="5" borderId="83" xfId="0" applyFont="1" applyFill="1" applyBorder="1" applyAlignment="1">
      <alignment horizontal="center"/>
    </xf>
    <xf numFmtId="3" fontId="42" fillId="5" borderId="104" xfId="0" applyNumberFormat="1" applyFont="1" applyFill="1" applyBorder="1"/>
    <xf numFmtId="3" fontId="42" fillId="5" borderId="106" xfId="0" applyNumberFormat="1" applyFont="1" applyFill="1" applyBorder="1"/>
    <xf numFmtId="165" fontId="36" fillId="5" borderId="3" xfId="3" applyNumberFormat="1" applyFont="1" applyFill="1" applyBorder="1" applyAlignment="1">
      <alignment horizontal="center"/>
    </xf>
    <xf numFmtId="165" fontId="36" fillId="5" borderId="19" xfId="3" applyNumberFormat="1" applyFont="1" applyFill="1" applyBorder="1" applyAlignment="1">
      <alignment horizontal="center"/>
    </xf>
    <xf numFmtId="3" fontId="42" fillId="5" borderId="45" xfId="0" applyNumberFormat="1" applyFont="1" applyFill="1" applyBorder="1"/>
    <xf numFmtId="3" fontId="42" fillId="5" borderId="38" xfId="0" applyNumberFormat="1" applyFont="1" applyFill="1" applyBorder="1"/>
    <xf numFmtId="0" fontId="66" fillId="5" borderId="78" xfId="0" applyFont="1" applyFill="1" applyBorder="1" applyAlignment="1">
      <alignment horizontal="left" vertical="center" wrapText="1"/>
    </xf>
    <xf numFmtId="0" fontId="42" fillId="0" borderId="25" xfId="0" applyFont="1" applyBorder="1" applyAlignment="1" applyProtection="1">
      <alignment horizontal="left" vertical="center" wrapText="1"/>
      <protection locked="0"/>
    </xf>
    <xf numFmtId="0" fontId="42" fillId="0" borderId="18" xfId="0" applyFont="1" applyBorder="1" applyAlignment="1" applyProtection="1">
      <alignment horizontal="left" vertical="center" wrapText="1"/>
      <protection locked="0"/>
    </xf>
    <xf numFmtId="0" fontId="42" fillId="0" borderId="42" xfId="0" applyFont="1" applyBorder="1" applyAlignment="1" applyProtection="1">
      <alignment horizontal="left" vertical="center" wrapText="1"/>
      <protection locked="0"/>
    </xf>
    <xf numFmtId="0" fontId="41" fillId="5" borderId="12" xfId="0" applyFont="1" applyFill="1" applyBorder="1" applyAlignment="1">
      <alignment horizontal="center" vertical="center" wrapText="1"/>
    </xf>
    <xf numFmtId="0" fontId="41" fillId="5" borderId="44" xfId="0" applyFont="1" applyFill="1" applyBorder="1" applyAlignment="1">
      <alignment horizontal="center" vertical="center" wrapText="1"/>
    </xf>
    <xf numFmtId="0" fontId="41" fillId="5" borderId="58" xfId="0" applyFont="1" applyFill="1" applyBorder="1" applyAlignment="1">
      <alignment horizontal="center" vertical="center" wrapText="1"/>
    </xf>
    <xf numFmtId="0" fontId="41" fillId="5" borderId="59" xfId="0" applyFont="1" applyFill="1" applyBorder="1" applyAlignment="1">
      <alignment horizontal="center" vertical="center" wrapText="1"/>
    </xf>
    <xf numFmtId="0" fontId="41" fillId="5" borderId="118" xfId="0" applyFont="1" applyFill="1" applyBorder="1" applyAlignment="1">
      <alignment horizontal="center" vertical="center" wrapText="1"/>
    </xf>
    <xf numFmtId="0" fontId="41" fillId="5" borderId="123" xfId="0" applyFont="1" applyFill="1" applyBorder="1" applyAlignment="1">
      <alignment horizontal="center" vertical="center" wrapText="1"/>
    </xf>
    <xf numFmtId="0" fontId="41" fillId="5" borderId="7" xfId="0" applyFont="1" applyFill="1" applyBorder="1" applyAlignment="1">
      <alignment horizontal="center" vertical="center" wrapText="1"/>
    </xf>
    <xf numFmtId="0" fontId="61" fillId="5" borderId="3" xfId="0" applyFont="1" applyFill="1" applyBorder="1" applyAlignment="1">
      <alignment horizontal="center" vertical="center"/>
    </xf>
    <xf numFmtId="0" fontId="61" fillId="5" borderId="17" xfId="0" applyFont="1" applyFill="1" applyBorder="1" applyAlignment="1">
      <alignment horizontal="center" vertical="center"/>
    </xf>
    <xf numFmtId="0" fontId="61" fillId="5" borderId="19" xfId="0" applyFont="1" applyFill="1" applyBorder="1" applyAlignment="1">
      <alignment horizontal="center" vertical="center"/>
    </xf>
    <xf numFmtId="0" fontId="41" fillId="5" borderId="117" xfId="0" applyFont="1" applyFill="1" applyBorder="1" applyAlignment="1">
      <alignment horizontal="center" vertical="center" wrapText="1"/>
    </xf>
    <xf numFmtId="0" fontId="41" fillId="5" borderId="79" xfId="0" applyFont="1" applyFill="1" applyBorder="1" applyAlignment="1">
      <alignment horizontal="center" vertical="center" wrapText="1"/>
    </xf>
    <xf numFmtId="0" fontId="41" fillId="5" borderId="121" xfId="0" applyFont="1" applyFill="1" applyBorder="1" applyAlignment="1">
      <alignment horizontal="center" vertical="center" wrapText="1"/>
    </xf>
    <xf numFmtId="0" fontId="41" fillId="5" borderId="122" xfId="0" applyFont="1" applyFill="1" applyBorder="1" applyAlignment="1">
      <alignment horizontal="center" vertical="center" wrapText="1"/>
    </xf>
    <xf numFmtId="0" fontId="41" fillId="5" borderId="30" xfId="0" applyFont="1" applyFill="1" applyBorder="1" applyAlignment="1">
      <alignment horizontal="center" vertical="center" wrapText="1"/>
    </xf>
    <xf numFmtId="0" fontId="41" fillId="5" borderId="119" xfId="0" applyFont="1" applyFill="1" applyBorder="1" applyAlignment="1">
      <alignment horizontal="center" vertical="center" wrapText="1"/>
    </xf>
    <xf numFmtId="0" fontId="41" fillId="5" borderId="120" xfId="0" applyFont="1" applyFill="1" applyBorder="1" applyAlignment="1">
      <alignment horizontal="center" vertical="center" wrapText="1"/>
    </xf>
    <xf numFmtId="0" fontId="61" fillId="5" borderId="2" xfId="0" applyFont="1" applyFill="1" applyBorder="1" applyAlignment="1">
      <alignment horizontal="center" vertical="center"/>
    </xf>
    <xf numFmtId="0" fontId="42" fillId="0" borderId="3" xfId="0" applyFont="1" applyBorder="1" applyAlignment="1" applyProtection="1">
      <alignment vertical="center"/>
      <protection locked="0"/>
    </xf>
    <xf numFmtId="0" fontId="42" fillId="0" borderId="17" xfId="0" applyFont="1" applyBorder="1" applyAlignment="1" applyProtection="1">
      <alignment vertical="center"/>
      <protection locked="0"/>
    </xf>
    <xf numFmtId="0" fontId="42" fillId="0" borderId="19" xfId="0" applyFont="1" applyBorder="1" applyAlignment="1" applyProtection="1">
      <alignment vertical="center"/>
      <protection locked="0"/>
    </xf>
    <xf numFmtId="0" fontId="54" fillId="0" borderId="0" xfId="0" quotePrefix="1" applyFont="1" applyAlignment="1">
      <alignment wrapText="1"/>
    </xf>
    <xf numFmtId="0" fontId="47" fillId="0" borderId="0" xfId="0" applyFont="1" applyAlignment="1">
      <alignment horizontal="left" vertical="top" wrapText="1"/>
    </xf>
    <xf numFmtId="0" fontId="47" fillId="0" borderId="0" xfId="0" applyFont="1" applyAlignment="1">
      <alignment wrapText="1"/>
    </xf>
    <xf numFmtId="0" fontId="47" fillId="0" borderId="0" xfId="0" applyFont="1" applyAlignment="1">
      <alignment vertical="top" wrapText="1"/>
    </xf>
    <xf numFmtId="0" fontId="42" fillId="0" borderId="2" xfId="0" applyFont="1" applyBorder="1" applyAlignment="1" applyProtection="1">
      <alignment vertical="center" wrapText="1"/>
      <protection locked="0"/>
    </xf>
    <xf numFmtId="0" fontId="51" fillId="0" borderId="99" xfId="0" applyFont="1" applyBorder="1" applyAlignment="1" applyProtection="1">
      <alignment vertical="center" wrapText="1"/>
      <protection hidden="1"/>
    </xf>
    <xf numFmtId="0" fontId="51" fillId="0" borderId="115" xfId="0" applyFont="1" applyBorder="1" applyAlignment="1" applyProtection="1">
      <alignment vertical="center" wrapText="1"/>
      <protection hidden="1"/>
    </xf>
    <xf numFmtId="0" fontId="51" fillId="0" borderId="100" xfId="0" applyFont="1" applyBorder="1" applyAlignment="1" applyProtection="1">
      <alignment vertical="center" wrapText="1"/>
      <protection hidden="1"/>
    </xf>
    <xf numFmtId="0" fontId="41" fillId="0" borderId="5" xfId="0" applyFont="1" applyBorder="1" applyAlignment="1">
      <alignment horizontal="left" wrapText="1"/>
    </xf>
    <xf numFmtId="0" fontId="41" fillId="5" borderId="2" xfId="0" applyFont="1" applyFill="1" applyBorder="1" applyAlignment="1">
      <alignment horizontal="center"/>
    </xf>
    <xf numFmtId="0" fontId="67" fillId="5" borderId="3" xfId="0" applyFont="1" applyFill="1" applyBorder="1" applyAlignment="1">
      <alignment horizontal="right" vertical="center"/>
    </xf>
    <xf numFmtId="0" fontId="67" fillId="5" borderId="11" xfId="0" applyFont="1" applyFill="1" applyBorder="1" applyAlignment="1">
      <alignment horizontal="right" vertical="center"/>
    </xf>
    <xf numFmtId="0" fontId="67" fillId="5" borderId="40" xfId="0" applyFont="1" applyFill="1" applyBorder="1" applyAlignment="1">
      <alignment horizontal="right" vertical="center"/>
    </xf>
    <xf numFmtId="0" fontId="67" fillId="5" borderId="41" xfId="0" applyFont="1" applyFill="1" applyBorder="1" applyAlignment="1">
      <alignment horizontal="right" vertical="center"/>
    </xf>
    <xf numFmtId="0" fontId="67" fillId="5" borderId="57" xfId="0" applyFont="1" applyFill="1" applyBorder="1" applyAlignment="1">
      <alignment horizontal="right" vertical="center"/>
    </xf>
    <xf numFmtId="164" fontId="73" fillId="5" borderId="3" xfId="1" applyNumberFormat="1" applyFont="1" applyFill="1" applyBorder="1" applyAlignment="1">
      <alignment horizontal="center" vertical="center"/>
    </xf>
    <xf numFmtId="164" fontId="73" fillId="5" borderId="19" xfId="1" applyNumberFormat="1" applyFont="1" applyFill="1" applyBorder="1" applyAlignment="1">
      <alignment horizontal="center" vertical="center"/>
    </xf>
    <xf numFmtId="0" fontId="41" fillId="5" borderId="29" xfId="0" applyFont="1" applyFill="1" applyBorder="1" applyAlignment="1">
      <alignment horizontal="center"/>
    </xf>
    <xf numFmtId="0" fontId="41" fillId="5" borderId="14" xfId="0" applyFont="1" applyFill="1" applyBorder="1" applyAlignment="1">
      <alignment horizontal="center"/>
    </xf>
    <xf numFmtId="0" fontId="49" fillId="5" borderId="3" xfId="0" applyFont="1" applyFill="1" applyBorder="1" applyAlignment="1">
      <alignment horizontal="center"/>
    </xf>
    <xf numFmtId="0" fontId="49" fillId="5" borderId="17" xfId="0" applyFont="1" applyFill="1" applyBorder="1" applyAlignment="1">
      <alignment horizontal="center"/>
    </xf>
    <xf numFmtId="0" fontId="49" fillId="5" borderId="19" xfId="0" applyFont="1" applyFill="1" applyBorder="1" applyAlignment="1">
      <alignment horizontal="center"/>
    </xf>
    <xf numFmtId="0" fontId="54" fillId="0" borderId="0" xfId="0" applyFont="1" applyAlignment="1">
      <alignment horizontal="left" wrapText="1"/>
    </xf>
    <xf numFmtId="0" fontId="47" fillId="5" borderId="3" xfId="0" applyFont="1" applyFill="1" applyBorder="1"/>
    <xf numFmtId="0" fontId="47" fillId="5" borderId="17" xfId="0" applyFont="1" applyFill="1" applyBorder="1"/>
    <xf numFmtId="0" fontId="47" fillId="5" borderId="19" xfId="0" applyFont="1" applyFill="1" applyBorder="1"/>
    <xf numFmtId="0" fontId="42" fillId="0" borderId="3" xfId="0" applyFont="1" applyBorder="1" applyAlignment="1">
      <alignment horizontal="left" vertical="center" wrapText="1" indent="1"/>
    </xf>
    <xf numFmtId="0" fontId="42" fillId="0" borderId="17" xfId="0" applyFont="1" applyBorder="1" applyAlignment="1">
      <alignment horizontal="left" vertical="center" wrapText="1" indent="1"/>
    </xf>
    <xf numFmtId="0" fontId="42" fillId="0" borderId="19" xfId="0" applyFont="1" applyBorder="1" applyAlignment="1">
      <alignment horizontal="left" vertical="center" wrapText="1" indent="1"/>
    </xf>
    <xf numFmtId="0" fontId="17" fillId="3" borderId="148" xfId="0" applyFont="1" applyFill="1" applyBorder="1" applyAlignment="1">
      <alignment vertical="center" wrapText="1"/>
    </xf>
    <xf numFmtId="0" fontId="17" fillId="3" borderId="53" xfId="0" applyFont="1" applyFill="1" applyBorder="1" applyAlignment="1">
      <alignment vertical="center" wrapText="1"/>
    </xf>
    <xf numFmtId="0" fontId="17" fillId="3" borderId="51" xfId="0" applyFont="1" applyFill="1" applyBorder="1" applyAlignment="1">
      <alignment vertical="center" wrapText="1"/>
    </xf>
    <xf numFmtId="0" fontId="17" fillId="3" borderId="150" xfId="0" applyFont="1" applyFill="1" applyBorder="1" applyAlignment="1">
      <alignment vertical="center" wrapText="1"/>
    </xf>
    <xf numFmtId="0" fontId="17" fillId="3" borderId="151" xfId="0" applyFont="1" applyFill="1" applyBorder="1" applyAlignment="1">
      <alignment vertical="center" wrapText="1"/>
    </xf>
    <xf numFmtId="0" fontId="17" fillId="3" borderId="152" xfId="0" applyFont="1" applyFill="1" applyBorder="1" applyAlignment="1">
      <alignment vertical="center" wrapText="1"/>
    </xf>
    <xf numFmtId="0" fontId="15" fillId="6" borderId="143" xfId="0" applyFont="1" applyFill="1" applyBorder="1" applyAlignment="1">
      <alignment horizontal="center" vertical="center" wrapText="1"/>
    </xf>
    <xf numFmtId="0" fontId="15" fillId="6" borderId="144" xfId="0" applyFont="1" applyFill="1" applyBorder="1" applyAlignment="1">
      <alignment horizontal="center" vertical="center" wrapText="1"/>
    </xf>
    <xf numFmtId="0" fontId="15" fillId="6" borderId="145" xfId="0" applyFont="1" applyFill="1" applyBorder="1" applyAlignment="1">
      <alignment horizontal="center" vertical="center" wrapText="1"/>
    </xf>
    <xf numFmtId="0" fontId="76" fillId="6" borderId="141" xfId="0" applyFont="1" applyFill="1" applyBorder="1" applyAlignment="1">
      <alignment horizontal="center" vertical="center" wrapText="1"/>
    </xf>
    <xf numFmtId="0" fontId="76" fillId="6" borderId="142" xfId="0" applyFont="1" applyFill="1" applyBorder="1" applyAlignment="1">
      <alignment horizontal="center" vertical="center" wrapText="1"/>
    </xf>
    <xf numFmtId="0" fontId="17" fillId="3" borderId="146" xfId="0" applyFont="1" applyFill="1" applyBorder="1" applyAlignment="1">
      <alignment vertical="center" wrapText="1"/>
    </xf>
    <xf numFmtId="0" fontId="17" fillId="3" borderId="52" xfId="0" applyFont="1" applyFill="1" applyBorder="1" applyAlignment="1">
      <alignment vertical="center" wrapText="1"/>
    </xf>
    <xf numFmtId="0" fontId="17" fillId="3" borderId="49" xfId="0" applyFont="1" applyFill="1" applyBorder="1" applyAlignment="1">
      <alignment vertical="center" wrapText="1"/>
    </xf>
    <xf numFmtId="0" fontId="49" fillId="0" borderId="0" xfId="0" applyFont="1" applyAlignment="1">
      <alignment wrapText="1"/>
    </xf>
    <xf numFmtId="0" fontId="22" fillId="0" borderId="0" xfId="0" applyFont="1" applyAlignment="1">
      <alignment wrapText="1"/>
    </xf>
  </cellXfs>
  <cellStyles count="8">
    <cellStyle name="Comma" xfId="4" builtinId="3"/>
    <cellStyle name="Currency" xfId="1" builtinId="4"/>
    <cellStyle name="Currency 2" xfId="2" xr:uid="{00000000-0005-0000-0000-000002000000}"/>
    <cellStyle name="Hyperlink" xfId="5" builtinId="8"/>
    <cellStyle name="Normal" xfId="0" builtinId="0"/>
    <cellStyle name="Normal 2" xfId="6" xr:uid="{00000000-0005-0000-0000-000005000000}"/>
    <cellStyle name="Normal 2 2" xfId="7" xr:uid="{00000000-0005-0000-0000-000006000000}"/>
    <cellStyle name="Percent" xfId="3" builtinId="5"/>
  </cellStyles>
  <dxfs count="53">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lor theme="0"/>
      </font>
      <fill>
        <patternFill>
          <bgColor theme="0"/>
        </patternFill>
      </fill>
      <border>
        <left/>
        <right/>
        <top/>
        <bottom/>
        <vertical/>
        <horizontal/>
      </border>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FFFF99"/>
        </patternFill>
      </fill>
    </dxf>
    <dxf>
      <fill>
        <patternFill patternType="none">
          <bgColor auto="1"/>
        </patternFill>
      </fill>
      <border>
        <left style="thin">
          <color auto="1"/>
        </left>
        <right/>
        <top/>
        <bottom/>
        <vertical/>
        <horizontal/>
      </border>
    </dxf>
    <dxf>
      <fill>
        <patternFill>
          <bgColor rgb="FFFFFF99"/>
        </patternFill>
      </fill>
    </dxf>
    <dxf>
      <font>
        <strike val="0"/>
        <color auto="1"/>
      </font>
      <fill>
        <patternFill>
          <bgColor rgb="FFFFFF99"/>
        </patternFill>
      </fill>
    </dxf>
    <dxf>
      <fill>
        <patternFill>
          <bgColor rgb="FFFFFF99"/>
        </patternFill>
      </fill>
    </dxf>
    <dxf>
      <fill>
        <patternFill>
          <bgColor rgb="FFFFFF99"/>
        </patternFill>
      </fill>
    </dxf>
    <dxf>
      <fill>
        <patternFill>
          <bgColor rgb="FFFFFF66"/>
        </patternFill>
      </fill>
    </dxf>
    <dxf>
      <fill>
        <patternFill>
          <bgColor rgb="FFFFFF66"/>
        </patternFill>
      </fill>
    </dxf>
    <dxf>
      <fill>
        <patternFill>
          <bgColor rgb="FFFFFF99"/>
        </patternFill>
      </fill>
    </dxf>
    <dxf>
      <fill>
        <patternFill>
          <bgColor rgb="FFFFFF99"/>
        </patternFill>
      </fill>
    </dxf>
    <dxf>
      <font>
        <b/>
        <i val="0"/>
        <color rgb="FF00B050"/>
      </font>
    </dxf>
    <dxf>
      <font>
        <b/>
        <i val="0"/>
        <color rgb="FF00B050"/>
      </font>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9" defaultPivotStyle="PivotStyleLight16"/>
  <colors>
    <mruColors>
      <color rgb="FFFFFF99"/>
      <color rgb="FFFFFF66"/>
      <color rgb="FF009644"/>
      <color rgb="FFFFFFCC"/>
      <color rgb="FFEAFFD5"/>
      <color rgb="FFCC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38"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Carbon Emissions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Assumptions!$C$88</c:f>
              <c:strCache>
                <c:ptCount val="1"/>
                <c:pt idx="0">
                  <c:v>Existing property</c:v>
                </c:pt>
              </c:strCache>
            </c:strRef>
          </c:tx>
          <c:spPr>
            <a:ln w="22225" cap="rnd">
              <a:solidFill>
                <a:schemeClr val="tx1"/>
              </a:solidFill>
              <a:prstDash val="sysDash"/>
              <a:round/>
            </a:ln>
            <a:effectLst/>
          </c:spPr>
          <c:marker>
            <c:symbol val="none"/>
          </c:marker>
          <c:cat>
            <c:strRef>
              <c:f>Assumptions!$B$89:$B$91</c:f>
              <c:strCache>
                <c:ptCount val="3"/>
                <c:pt idx="0">
                  <c:v>Current (20% clean)</c:v>
                </c:pt>
                <c:pt idx="1">
                  <c:v>80% clean</c:v>
                </c:pt>
                <c:pt idx="2">
                  <c:v>100% clean</c:v>
                </c:pt>
              </c:strCache>
            </c:strRef>
          </c:cat>
          <c:val>
            <c:numRef>
              <c:f>Assumptions!$C$89:$C$91</c:f>
              <c:numCache>
                <c:formatCode>#,##0</c:formatCode>
                <c:ptCount val="3"/>
                <c:pt idx="0">
                  <c:v>804619.26114899991</c:v>
                </c:pt>
                <c:pt idx="1">
                  <c:v>288256.54303724994</c:v>
                </c:pt>
                <c:pt idx="2">
                  <c:v>116135.63699999999</c:v>
                </c:pt>
              </c:numCache>
            </c:numRef>
          </c:val>
          <c:smooth val="0"/>
          <c:extLst>
            <c:ext xmlns:c16="http://schemas.microsoft.com/office/drawing/2014/chart" uri="{C3380CC4-5D6E-409C-BE32-E72D297353CC}">
              <c16:uniqueId val="{00000000-DC59-4791-AD77-6F0340B5AB11}"/>
            </c:ext>
          </c:extLst>
        </c:ser>
        <c:ser>
          <c:idx val="2"/>
          <c:order val="2"/>
          <c:tx>
            <c:strRef>
              <c:f>Assumptions!$D$88</c:f>
              <c:strCache>
                <c:ptCount val="1"/>
                <c:pt idx="0">
                  <c:v>Existing property w/ EWEMs</c:v>
                </c:pt>
              </c:strCache>
            </c:strRef>
          </c:tx>
          <c:spPr>
            <a:ln w="28575" cap="rnd">
              <a:solidFill>
                <a:srgbClr val="92D050"/>
              </a:solidFill>
              <a:round/>
            </a:ln>
            <a:effectLst/>
          </c:spPr>
          <c:marker>
            <c:symbol val="none"/>
          </c:marker>
          <c:val>
            <c:numRef>
              <c:f>Assumptions!$D$89:$D$91</c:f>
              <c:numCache>
                <c:formatCode>#,##0</c:formatCode>
                <c:ptCount val="3"/>
                <c:pt idx="0">
                  <c:v>81166.339134400085</c:v>
                </c:pt>
                <c:pt idx="1">
                  <c:v>78885.192283600016</c:v>
                </c:pt>
                <c:pt idx="2">
                  <c:v>78124.81</c:v>
                </c:pt>
              </c:numCache>
            </c:numRef>
          </c:val>
          <c:smooth val="0"/>
          <c:extLst>
            <c:ext xmlns:c16="http://schemas.microsoft.com/office/drawing/2014/chart" uri="{C3380CC4-5D6E-409C-BE32-E72D297353CC}">
              <c16:uniqueId val="{00000001-1C44-4844-A831-47DDD3951D6F}"/>
            </c:ext>
          </c:extLst>
        </c:ser>
        <c:ser>
          <c:idx val="3"/>
          <c:order val="3"/>
          <c:tx>
            <c:strRef>
              <c:f>Assumptions!$E$88</c:f>
              <c:strCache>
                <c:ptCount val="1"/>
                <c:pt idx="0">
                  <c:v>Fully electric property w/ EWEMs</c:v>
                </c:pt>
              </c:strCache>
            </c:strRef>
          </c:tx>
          <c:spPr>
            <a:ln w="28575" cap="rnd">
              <a:solidFill>
                <a:srgbClr val="009644"/>
              </a:solidFill>
              <a:round/>
            </a:ln>
            <a:effectLst/>
          </c:spPr>
          <c:marker>
            <c:symbol val="none"/>
          </c:marker>
          <c:val>
            <c:numRef>
              <c:f>Assumptions!$E$89:$E$91</c:f>
              <c:numCache>
                <c:formatCode>#,##0</c:formatCode>
                <c:ptCount val="3"/>
                <c:pt idx="0">
                  <c:v>131724.60913440006</c:v>
                </c:pt>
                <c:pt idx="1">
                  <c:v>32931.152283600015</c:v>
                </c:pt>
                <c:pt idx="2">
                  <c:v>0</c:v>
                </c:pt>
              </c:numCache>
            </c:numRef>
          </c:val>
          <c:smooth val="0"/>
          <c:extLst>
            <c:ext xmlns:c16="http://schemas.microsoft.com/office/drawing/2014/chart" uri="{C3380CC4-5D6E-409C-BE32-E72D297353CC}">
              <c16:uniqueId val="{00000002-1C44-4844-A831-47DDD3951D6F}"/>
            </c:ext>
          </c:extLst>
        </c:ser>
        <c:dLbls>
          <c:showLegendKey val="0"/>
          <c:showVal val="0"/>
          <c:showCatName val="0"/>
          <c:showSerName val="0"/>
          <c:showPercent val="0"/>
          <c:showBubbleSize val="0"/>
        </c:dLbls>
        <c:smooth val="0"/>
        <c:axId val="769605520"/>
        <c:axId val="769606160"/>
        <c:extLst>
          <c:ext xmlns:c15="http://schemas.microsoft.com/office/drawing/2012/chart" uri="{02D57815-91ED-43cb-92C2-25804820EDAC}">
            <c15:filteredLineSeries>
              <c15:ser>
                <c:idx val="1"/>
                <c:order val="1"/>
                <c:tx>
                  <c:strRef>
                    <c:extLst>
                      <c:ext uri="{02D57815-91ED-43cb-92C2-25804820EDAC}">
                        <c15:formulaRef>
                          <c15:sqref>Assumptions!$F$88</c15:sqref>
                        </c15:formulaRef>
                      </c:ext>
                    </c:extLst>
                    <c:strCache>
                      <c:ptCount val="1"/>
                      <c:pt idx="0">
                        <c:v>Fully electric property</c:v>
                      </c:pt>
                    </c:strCache>
                  </c:strRef>
                </c:tx>
                <c:spPr>
                  <a:ln w="28575" cap="rnd">
                    <a:solidFill>
                      <a:srgbClr val="92D050"/>
                    </a:solidFill>
                    <a:round/>
                  </a:ln>
                  <a:effectLst/>
                </c:spPr>
                <c:marker>
                  <c:symbol val="none"/>
                </c:marker>
                <c:cat>
                  <c:strRef>
                    <c:extLst>
                      <c:ext uri="{02D57815-91ED-43cb-92C2-25804820EDAC}">
                        <c15:formulaRef>
                          <c15:sqref>Assumptions!$B$89:$B$91</c15:sqref>
                        </c15:formulaRef>
                      </c:ext>
                    </c:extLst>
                    <c:strCache>
                      <c:ptCount val="3"/>
                      <c:pt idx="0">
                        <c:v>Current (20% clean)</c:v>
                      </c:pt>
                      <c:pt idx="1">
                        <c:v>80% clean</c:v>
                      </c:pt>
                      <c:pt idx="2">
                        <c:v>100% clean</c:v>
                      </c:pt>
                    </c:strCache>
                  </c:strRef>
                </c:cat>
                <c:val>
                  <c:numRef>
                    <c:extLst>
                      <c:ext uri="{02D57815-91ED-43cb-92C2-25804820EDAC}">
                        <c15:formulaRef>
                          <c15:sqref>Assumptions!$F$89:$F$91</c15:sqref>
                        </c15:formulaRef>
                      </c:ext>
                    </c:extLst>
                    <c:numCache>
                      <c:formatCode>#,##0</c:formatCode>
                      <c:ptCount val="3"/>
                      <c:pt idx="0">
                        <c:v>879776.14014899987</c:v>
                      </c:pt>
                      <c:pt idx="1">
                        <c:v>219944.03503724997</c:v>
                      </c:pt>
                      <c:pt idx="2">
                        <c:v>0</c:v>
                      </c:pt>
                    </c:numCache>
                  </c:numRef>
                </c:val>
                <c:smooth val="0"/>
                <c:extLst>
                  <c:ext xmlns:c16="http://schemas.microsoft.com/office/drawing/2014/chart" uri="{C3380CC4-5D6E-409C-BE32-E72D297353CC}">
                    <c16:uniqueId val="{00000001-DC59-4791-AD77-6F0340B5AB11}"/>
                  </c:ext>
                </c:extLst>
              </c15:ser>
            </c15:filteredLineSeries>
          </c:ext>
        </c:extLst>
      </c:lineChart>
      <c:catAx>
        <c:axId val="76960552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Electricity Grid Scenario</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9606160"/>
        <c:crosses val="autoZero"/>
        <c:auto val="1"/>
        <c:lblAlgn val="ctr"/>
        <c:lblOffset val="100"/>
        <c:noMultiLvlLbl val="0"/>
      </c:catAx>
      <c:valAx>
        <c:axId val="7696061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Carbon Emissions (kgCO2e)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960552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Carbon Emissions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Assumptions!$C$88</c:f>
              <c:strCache>
                <c:ptCount val="1"/>
                <c:pt idx="0">
                  <c:v>Existing property</c:v>
                </c:pt>
              </c:strCache>
            </c:strRef>
          </c:tx>
          <c:spPr>
            <a:ln w="22225" cap="rnd">
              <a:solidFill>
                <a:schemeClr val="tx1"/>
              </a:solidFill>
              <a:prstDash val="sysDash"/>
              <a:round/>
            </a:ln>
            <a:effectLst/>
          </c:spPr>
          <c:marker>
            <c:symbol val="none"/>
          </c:marker>
          <c:cat>
            <c:strRef>
              <c:f>Assumptions!$B$89:$B$91</c:f>
              <c:strCache>
                <c:ptCount val="3"/>
                <c:pt idx="0">
                  <c:v>Current (20% clean)</c:v>
                </c:pt>
                <c:pt idx="1">
                  <c:v>80% clean</c:v>
                </c:pt>
                <c:pt idx="2">
                  <c:v>100% clean</c:v>
                </c:pt>
              </c:strCache>
            </c:strRef>
          </c:cat>
          <c:val>
            <c:numRef>
              <c:f>Assumptions!$C$89:$C$91</c:f>
              <c:numCache>
                <c:formatCode>#,##0</c:formatCode>
                <c:ptCount val="3"/>
                <c:pt idx="0">
                  <c:v>804619.26114899991</c:v>
                </c:pt>
                <c:pt idx="1">
                  <c:v>288256.54303724994</c:v>
                </c:pt>
                <c:pt idx="2">
                  <c:v>116135.63699999999</c:v>
                </c:pt>
              </c:numCache>
            </c:numRef>
          </c:val>
          <c:smooth val="0"/>
          <c:extLst>
            <c:ext xmlns:c16="http://schemas.microsoft.com/office/drawing/2014/chart" uri="{C3380CC4-5D6E-409C-BE32-E72D297353CC}">
              <c16:uniqueId val="{00000000-2BAA-4F01-9C4A-001627D73112}"/>
            </c:ext>
          </c:extLst>
        </c:ser>
        <c:ser>
          <c:idx val="2"/>
          <c:order val="2"/>
          <c:tx>
            <c:strRef>
              <c:f>Assumptions!$D$88</c:f>
              <c:strCache>
                <c:ptCount val="1"/>
                <c:pt idx="0">
                  <c:v>Existing property w/ EWEMs</c:v>
                </c:pt>
              </c:strCache>
            </c:strRef>
          </c:tx>
          <c:spPr>
            <a:ln w="28575" cap="rnd">
              <a:solidFill>
                <a:srgbClr val="92D050"/>
              </a:solidFill>
              <a:round/>
            </a:ln>
            <a:effectLst/>
          </c:spPr>
          <c:marker>
            <c:symbol val="none"/>
          </c:marker>
          <c:val>
            <c:numRef>
              <c:f>Assumptions!$D$89:$D$91</c:f>
              <c:numCache>
                <c:formatCode>#,##0</c:formatCode>
                <c:ptCount val="3"/>
                <c:pt idx="0">
                  <c:v>81166.339134400085</c:v>
                </c:pt>
                <c:pt idx="1">
                  <c:v>78885.192283600016</c:v>
                </c:pt>
                <c:pt idx="2">
                  <c:v>78124.81</c:v>
                </c:pt>
              </c:numCache>
            </c:numRef>
          </c:val>
          <c:smooth val="0"/>
          <c:extLst>
            <c:ext xmlns:c16="http://schemas.microsoft.com/office/drawing/2014/chart" uri="{C3380CC4-5D6E-409C-BE32-E72D297353CC}">
              <c16:uniqueId val="{00000001-2BAA-4F01-9C4A-001627D73112}"/>
            </c:ext>
          </c:extLst>
        </c:ser>
        <c:ser>
          <c:idx val="3"/>
          <c:order val="3"/>
          <c:tx>
            <c:strRef>
              <c:f>Assumptions!$E$88</c:f>
              <c:strCache>
                <c:ptCount val="1"/>
                <c:pt idx="0">
                  <c:v>Fully electric property w/ EWEMs</c:v>
                </c:pt>
              </c:strCache>
            </c:strRef>
          </c:tx>
          <c:spPr>
            <a:ln w="28575" cap="rnd">
              <a:solidFill>
                <a:srgbClr val="009644"/>
              </a:solidFill>
              <a:round/>
            </a:ln>
            <a:effectLst/>
          </c:spPr>
          <c:marker>
            <c:symbol val="none"/>
          </c:marker>
          <c:val>
            <c:numRef>
              <c:f>Assumptions!$E$89:$E$91</c:f>
              <c:numCache>
                <c:formatCode>#,##0</c:formatCode>
                <c:ptCount val="3"/>
                <c:pt idx="0">
                  <c:v>131724.60913440006</c:v>
                </c:pt>
                <c:pt idx="1">
                  <c:v>32931.152283600015</c:v>
                </c:pt>
                <c:pt idx="2">
                  <c:v>0</c:v>
                </c:pt>
              </c:numCache>
            </c:numRef>
          </c:val>
          <c:smooth val="0"/>
          <c:extLst>
            <c:ext xmlns:c16="http://schemas.microsoft.com/office/drawing/2014/chart" uri="{C3380CC4-5D6E-409C-BE32-E72D297353CC}">
              <c16:uniqueId val="{00000002-2BAA-4F01-9C4A-001627D73112}"/>
            </c:ext>
          </c:extLst>
        </c:ser>
        <c:dLbls>
          <c:showLegendKey val="0"/>
          <c:showVal val="0"/>
          <c:showCatName val="0"/>
          <c:showSerName val="0"/>
          <c:showPercent val="0"/>
          <c:showBubbleSize val="0"/>
        </c:dLbls>
        <c:smooth val="0"/>
        <c:axId val="769605520"/>
        <c:axId val="769606160"/>
        <c:extLst>
          <c:ext xmlns:c15="http://schemas.microsoft.com/office/drawing/2012/chart" uri="{02D57815-91ED-43cb-92C2-25804820EDAC}">
            <c15:filteredLineSeries>
              <c15:ser>
                <c:idx val="1"/>
                <c:order val="1"/>
                <c:tx>
                  <c:strRef>
                    <c:extLst>
                      <c:ext uri="{02D57815-91ED-43cb-92C2-25804820EDAC}">
                        <c15:formulaRef>
                          <c15:sqref>Assumptions!$F$88</c15:sqref>
                        </c15:formulaRef>
                      </c:ext>
                    </c:extLst>
                    <c:strCache>
                      <c:ptCount val="1"/>
                      <c:pt idx="0">
                        <c:v>Fully electric property</c:v>
                      </c:pt>
                    </c:strCache>
                  </c:strRef>
                </c:tx>
                <c:spPr>
                  <a:ln w="28575" cap="rnd">
                    <a:solidFill>
                      <a:srgbClr val="92D050"/>
                    </a:solidFill>
                    <a:round/>
                  </a:ln>
                  <a:effectLst/>
                </c:spPr>
                <c:marker>
                  <c:symbol val="none"/>
                </c:marker>
                <c:cat>
                  <c:strRef>
                    <c:extLst>
                      <c:ext uri="{02D57815-91ED-43cb-92C2-25804820EDAC}">
                        <c15:formulaRef>
                          <c15:sqref>Assumptions!$B$89:$B$91</c15:sqref>
                        </c15:formulaRef>
                      </c:ext>
                    </c:extLst>
                    <c:strCache>
                      <c:ptCount val="3"/>
                      <c:pt idx="0">
                        <c:v>Current (20% clean)</c:v>
                      </c:pt>
                      <c:pt idx="1">
                        <c:v>80% clean</c:v>
                      </c:pt>
                      <c:pt idx="2">
                        <c:v>100% clean</c:v>
                      </c:pt>
                    </c:strCache>
                  </c:strRef>
                </c:cat>
                <c:val>
                  <c:numRef>
                    <c:extLst>
                      <c:ext uri="{02D57815-91ED-43cb-92C2-25804820EDAC}">
                        <c15:formulaRef>
                          <c15:sqref>Assumptions!$F$89:$F$91</c15:sqref>
                        </c15:formulaRef>
                      </c:ext>
                    </c:extLst>
                    <c:numCache>
                      <c:formatCode>#,##0</c:formatCode>
                      <c:ptCount val="3"/>
                      <c:pt idx="0">
                        <c:v>879776.14014899987</c:v>
                      </c:pt>
                      <c:pt idx="1">
                        <c:v>219944.03503724997</c:v>
                      </c:pt>
                      <c:pt idx="2">
                        <c:v>0</c:v>
                      </c:pt>
                    </c:numCache>
                  </c:numRef>
                </c:val>
                <c:smooth val="0"/>
                <c:extLst>
                  <c:ext xmlns:c16="http://schemas.microsoft.com/office/drawing/2014/chart" uri="{C3380CC4-5D6E-409C-BE32-E72D297353CC}">
                    <c16:uniqueId val="{00000003-2BAA-4F01-9C4A-001627D73112}"/>
                  </c:ext>
                </c:extLst>
              </c15:ser>
            </c15:filteredLineSeries>
          </c:ext>
        </c:extLst>
      </c:lineChart>
      <c:catAx>
        <c:axId val="76960552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Electricity Grid Scenario</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9606160"/>
        <c:crosses val="autoZero"/>
        <c:auto val="1"/>
        <c:lblAlgn val="ctr"/>
        <c:lblOffset val="100"/>
        <c:noMultiLvlLbl val="0"/>
      </c:catAx>
      <c:valAx>
        <c:axId val="7696061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Carbon Emissions (kgCO2e)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960552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fmlaLink="'DB-Solar'!$G$2" lockText="1" noThreeD="1"/>
</file>

<file path=xl/ctrlProps/ctrlProp10.xml><?xml version="1.0" encoding="utf-8"?>
<formControlPr xmlns="http://schemas.microsoft.com/office/spreadsheetml/2009/9/main" objectType="CheckBox" checked="Checked" fmlaLink="'DB-Electrification'!$E$2" lockText="1" noThreeD="1"/>
</file>

<file path=xl/ctrlProps/ctrlProp11.xml><?xml version="1.0" encoding="utf-8"?>
<formControlPr xmlns="http://schemas.microsoft.com/office/spreadsheetml/2009/9/main" objectType="CheckBox" checked="Checked" fmlaLink="'DB-Electrification'!$J$2" lockText="1" noThreeD="1"/>
</file>

<file path=xl/ctrlProps/ctrlProp12.xml><?xml version="1.0" encoding="utf-8"?>
<formControlPr xmlns="http://schemas.microsoft.com/office/spreadsheetml/2009/9/main" objectType="CheckBox" checked="Checked" fmlaLink="'DB-Electrification'!$K$2" lockText="1" noThreeD="1"/>
</file>

<file path=xl/ctrlProps/ctrlProp13.xml><?xml version="1.0" encoding="utf-8"?>
<formControlPr xmlns="http://schemas.microsoft.com/office/spreadsheetml/2009/9/main" objectType="CheckBox" fmlaLink="'DB-Electrification'!$L$2" lockText="1" noThreeD="1"/>
</file>

<file path=xl/ctrlProps/ctrlProp14.xml><?xml version="1.0" encoding="utf-8"?>
<formControlPr xmlns="http://schemas.microsoft.com/office/spreadsheetml/2009/9/main" objectType="CheckBox" checked="Checked" fmlaLink="'DB-Electrification'!$M$2" lockText="1" noThreeD="1"/>
</file>

<file path=xl/ctrlProps/ctrlProp15.xml><?xml version="1.0" encoding="utf-8"?>
<formControlPr xmlns="http://schemas.microsoft.com/office/spreadsheetml/2009/9/main" objectType="CheckBox" fmlaLink="'DB-Electrification'!$O$2" lockText="1" noThreeD="1"/>
</file>

<file path=xl/ctrlProps/ctrlProp16.xml><?xml version="1.0" encoding="utf-8"?>
<formControlPr xmlns="http://schemas.microsoft.com/office/spreadsheetml/2009/9/main" objectType="CheckBox" checked="Checked" fmlaLink="'DB-Electrification'!$G$2" lockText="1" noThreeD="1"/>
</file>

<file path=xl/ctrlProps/ctrlProp17.xml><?xml version="1.0" encoding="utf-8"?>
<formControlPr xmlns="http://schemas.microsoft.com/office/spreadsheetml/2009/9/main" objectType="CheckBox" fmlaLink="'DB-Electrification'!$N$2" lockText="1" noThreeD="1"/>
</file>

<file path=xl/ctrlProps/ctrlProp2.xml><?xml version="1.0" encoding="utf-8"?>
<formControlPr xmlns="http://schemas.microsoft.com/office/spreadsheetml/2009/9/main" objectType="CheckBox" fmlaLink="'DB-Solar'!$K$2" lockText="1" noThreeD="1"/>
</file>

<file path=xl/ctrlProps/ctrlProp3.xml><?xml version="1.0" encoding="utf-8"?>
<formControlPr xmlns="http://schemas.microsoft.com/office/spreadsheetml/2009/9/main" objectType="CheckBox" fmlaLink="'DB-Solar'!$H$2" lockText="1" noThreeD="1"/>
</file>

<file path=xl/ctrlProps/ctrlProp4.xml><?xml version="1.0" encoding="utf-8"?>
<formControlPr xmlns="http://schemas.microsoft.com/office/spreadsheetml/2009/9/main" objectType="CheckBox" fmlaLink="'DB-Solar'!$J$2" lockText="1" noThreeD="1"/>
</file>

<file path=xl/ctrlProps/ctrlProp5.xml><?xml version="1.0" encoding="utf-8"?>
<formControlPr xmlns="http://schemas.microsoft.com/office/spreadsheetml/2009/9/main" objectType="CheckBox" fmlaLink="'DB-Solar'!$I$2" lockText="1" noThreeD="1"/>
</file>

<file path=xl/ctrlProps/ctrlProp6.xml><?xml version="1.0" encoding="utf-8"?>
<formControlPr xmlns="http://schemas.microsoft.com/office/spreadsheetml/2009/9/main" objectType="CheckBox" checked="Checked" fmlaLink="'DB-Electrification'!$B$2" lockText="1" noThreeD="1"/>
</file>

<file path=xl/ctrlProps/ctrlProp7.xml><?xml version="1.0" encoding="utf-8"?>
<formControlPr xmlns="http://schemas.microsoft.com/office/spreadsheetml/2009/9/main" objectType="CheckBox" checked="Checked" fmlaLink="'DB-Electrification'!$C$2" lockText="1" noThreeD="1"/>
</file>

<file path=xl/ctrlProps/ctrlProp8.xml><?xml version="1.0" encoding="utf-8"?>
<formControlPr xmlns="http://schemas.microsoft.com/office/spreadsheetml/2009/9/main" objectType="CheckBox" checked="Checked" fmlaLink="'DB-Electrification'!$D$2" lockText="1" noThreeD="1"/>
</file>

<file path=xl/ctrlProps/ctrlProp9.xml><?xml version="1.0" encoding="utf-8"?>
<formControlPr xmlns="http://schemas.microsoft.com/office/spreadsheetml/2009/9/main" objectType="CheckBox" fmlaLink="'DB-Electrification'!$F$2"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68580</xdr:colOff>
      <xdr:row>0</xdr:row>
      <xdr:rowOff>45720</xdr:rowOff>
    </xdr:from>
    <xdr:to>
      <xdr:col>3</xdr:col>
      <xdr:colOff>1083429</xdr:colOff>
      <xdr:row>1</xdr:row>
      <xdr:rowOff>136295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580" y="45720"/>
          <a:ext cx="1394579" cy="2785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292100</xdr:colOff>
          <xdr:row>7</xdr:row>
          <xdr:rowOff>38100</xdr:rowOff>
        </xdr:from>
        <xdr:to>
          <xdr:col>6</xdr:col>
          <xdr:colOff>571500</xdr:colOff>
          <xdr:row>7</xdr:row>
          <xdr:rowOff>292100</xdr:rowOff>
        </xdr:to>
        <xdr:sp macro="" textlink="">
          <xdr:nvSpPr>
            <xdr:cNvPr id="38916" name="Check Box 4" hidden="1">
              <a:extLst>
                <a:ext uri="{63B3BB69-23CF-44E3-9099-C40C66FF867C}">
                  <a14:compatExt spid="_x0000_s38916"/>
                </a:ext>
                <a:ext uri="{FF2B5EF4-FFF2-40B4-BE49-F238E27FC236}">
                  <a16:creationId xmlns:a16="http://schemas.microsoft.com/office/drawing/2014/main" id="{00000000-0008-0000-0900-000004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Segoe UI"/>
                  <a:cs typeface="Segoe UI"/>
                </a:rPr>
                <a:t>Amenities on rooftop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901700</xdr:colOff>
          <xdr:row>7</xdr:row>
          <xdr:rowOff>38100</xdr:rowOff>
        </xdr:from>
        <xdr:to>
          <xdr:col>9</xdr:col>
          <xdr:colOff>876300</xdr:colOff>
          <xdr:row>7</xdr:row>
          <xdr:rowOff>292100</xdr:rowOff>
        </xdr:to>
        <xdr:sp macro="" textlink="">
          <xdr:nvSpPr>
            <xdr:cNvPr id="38917" name="Check Box 5" hidden="1">
              <a:extLst>
                <a:ext uri="{63B3BB69-23CF-44E3-9099-C40C66FF867C}">
                  <a14:compatExt spid="_x0000_s38917"/>
                </a:ext>
                <a:ext uri="{FF2B5EF4-FFF2-40B4-BE49-F238E27FC236}">
                  <a16:creationId xmlns:a16="http://schemas.microsoft.com/office/drawing/2014/main" id="{00000000-0008-0000-0900-000005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Segoe UI"/>
                  <a:cs typeface="Segoe UI"/>
                </a:rPr>
                <a:t>Zoning or permitting restrictions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292100</xdr:colOff>
          <xdr:row>7</xdr:row>
          <xdr:rowOff>266700</xdr:rowOff>
        </xdr:from>
        <xdr:to>
          <xdr:col>6</xdr:col>
          <xdr:colOff>571500</xdr:colOff>
          <xdr:row>8</xdr:row>
          <xdr:rowOff>25400</xdr:rowOff>
        </xdr:to>
        <xdr:sp macro="" textlink="">
          <xdr:nvSpPr>
            <xdr:cNvPr id="38918" name="Check Box 6" hidden="1">
              <a:extLst>
                <a:ext uri="{63B3BB69-23CF-44E3-9099-C40C66FF867C}">
                  <a14:compatExt spid="_x0000_s38918"/>
                </a:ext>
                <a:ext uri="{FF2B5EF4-FFF2-40B4-BE49-F238E27FC236}">
                  <a16:creationId xmlns:a16="http://schemas.microsoft.com/office/drawing/2014/main" id="{00000000-0008-0000-0900-000006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Segoe UI"/>
                  <a:cs typeface="Segoe UI"/>
                </a:rPr>
                <a:t>Mechanicals on rooftop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7</xdr:row>
          <xdr:rowOff>254000</xdr:rowOff>
        </xdr:from>
        <xdr:to>
          <xdr:col>7</xdr:col>
          <xdr:colOff>863600</xdr:colOff>
          <xdr:row>8</xdr:row>
          <xdr:rowOff>25400</xdr:rowOff>
        </xdr:to>
        <xdr:sp macro="" textlink="">
          <xdr:nvSpPr>
            <xdr:cNvPr id="38919" name="Check Box 7" hidden="1">
              <a:extLst>
                <a:ext uri="{63B3BB69-23CF-44E3-9099-C40C66FF867C}">
                  <a14:compatExt spid="_x0000_s38919"/>
                </a:ext>
                <a:ext uri="{FF2B5EF4-FFF2-40B4-BE49-F238E27FC236}">
                  <a16:creationId xmlns:a16="http://schemas.microsoft.com/office/drawing/2014/main" id="{00000000-0008-0000-0900-000007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Segoe UI"/>
                  <a:cs typeface="Segoe UI"/>
                </a:rPr>
                <a:t>Age of roof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7</xdr:row>
          <xdr:rowOff>38100</xdr:rowOff>
        </xdr:from>
        <xdr:to>
          <xdr:col>7</xdr:col>
          <xdr:colOff>825500</xdr:colOff>
          <xdr:row>7</xdr:row>
          <xdr:rowOff>292100</xdr:rowOff>
        </xdr:to>
        <xdr:sp macro="" textlink="">
          <xdr:nvSpPr>
            <xdr:cNvPr id="38921" name="Check Box 9" hidden="1">
              <a:extLst>
                <a:ext uri="{63B3BB69-23CF-44E3-9099-C40C66FF867C}">
                  <a14:compatExt spid="_x0000_s38921"/>
                </a:ext>
                <a:ext uri="{FF2B5EF4-FFF2-40B4-BE49-F238E27FC236}">
                  <a16:creationId xmlns:a16="http://schemas.microsoft.com/office/drawing/2014/main" id="{00000000-0008-0000-0900-000009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Segoe UI"/>
                  <a:cs typeface="Segoe UI"/>
                </a:rPr>
                <a:t>Shading</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133349</xdr:colOff>
      <xdr:row>8</xdr:row>
      <xdr:rowOff>152400</xdr:rowOff>
    </xdr:from>
    <xdr:to>
      <xdr:col>9</xdr:col>
      <xdr:colOff>409574</xdr:colOff>
      <xdr:row>17</xdr:row>
      <xdr:rowOff>152400</xdr:rowOff>
    </xdr:to>
    <xdr:graphicFrame macro="">
      <xdr:nvGraphicFramePr>
        <xdr:cNvPr id="2" name="Chart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2</xdr:col>
          <xdr:colOff>76200</xdr:colOff>
          <xdr:row>22</xdr:row>
          <xdr:rowOff>63500</xdr:rowOff>
        </xdr:from>
        <xdr:to>
          <xdr:col>7</xdr:col>
          <xdr:colOff>558800</xdr:colOff>
          <xdr:row>22</xdr:row>
          <xdr:rowOff>254000</xdr:rowOff>
        </xdr:to>
        <xdr:sp macro="" textlink="">
          <xdr:nvSpPr>
            <xdr:cNvPr id="61450" name="Check Box 10" hidden="1">
              <a:extLst>
                <a:ext uri="{63B3BB69-23CF-44E3-9099-C40C66FF867C}">
                  <a14:compatExt spid="_x0000_s61450"/>
                </a:ext>
                <a:ext uri="{FF2B5EF4-FFF2-40B4-BE49-F238E27FC236}">
                  <a16:creationId xmlns:a16="http://schemas.microsoft.com/office/drawing/2014/main" id="{00000000-0008-0000-0A00-00000A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Segoe UI"/>
                  <a:cs typeface="Segoe UI"/>
                </a:rPr>
                <a:t>Upgrade electric service, breakers, wiring, and plugs required for conversion to all electric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23</xdr:row>
          <xdr:rowOff>25400</xdr:rowOff>
        </xdr:from>
        <xdr:to>
          <xdr:col>5</xdr:col>
          <xdr:colOff>292100</xdr:colOff>
          <xdr:row>23</xdr:row>
          <xdr:rowOff>203200</xdr:rowOff>
        </xdr:to>
        <xdr:sp macro="" textlink="">
          <xdr:nvSpPr>
            <xdr:cNvPr id="61451" name="Check Box 11" hidden="1">
              <a:extLst>
                <a:ext uri="{63B3BB69-23CF-44E3-9099-C40C66FF867C}">
                  <a14:compatExt spid="_x0000_s61451"/>
                </a:ext>
                <a:ext uri="{FF2B5EF4-FFF2-40B4-BE49-F238E27FC236}">
                  <a16:creationId xmlns:a16="http://schemas.microsoft.com/office/drawing/2014/main" id="{00000000-0008-0000-0A00-00000B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Segoe UI"/>
                  <a:cs typeface="Segoe UI"/>
                </a:rPr>
                <a:t>Upgrade cooking, laundry, and/or other appliances to electric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23</xdr:row>
          <xdr:rowOff>254000</xdr:rowOff>
        </xdr:from>
        <xdr:to>
          <xdr:col>4</xdr:col>
          <xdr:colOff>1092200</xdr:colOff>
          <xdr:row>24</xdr:row>
          <xdr:rowOff>177800</xdr:rowOff>
        </xdr:to>
        <xdr:sp macro="" textlink="">
          <xdr:nvSpPr>
            <xdr:cNvPr id="61452" name="Check Box 12" hidden="1">
              <a:extLst>
                <a:ext uri="{63B3BB69-23CF-44E3-9099-C40C66FF867C}">
                  <a14:compatExt spid="_x0000_s61452"/>
                </a:ext>
                <a:ext uri="{FF2B5EF4-FFF2-40B4-BE49-F238E27FC236}">
                  <a16:creationId xmlns:a16="http://schemas.microsoft.com/office/drawing/2014/main" id="{00000000-0008-0000-0A00-00000C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Segoe UI"/>
                  <a:cs typeface="Segoe UI"/>
                </a:rPr>
                <a:t>Upgrade space heating equipment to electric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25</xdr:row>
          <xdr:rowOff>190500</xdr:rowOff>
        </xdr:from>
        <xdr:to>
          <xdr:col>8</xdr:col>
          <xdr:colOff>546100</xdr:colOff>
          <xdr:row>26</xdr:row>
          <xdr:rowOff>114300</xdr:rowOff>
        </xdr:to>
        <xdr:sp macro="" textlink="">
          <xdr:nvSpPr>
            <xdr:cNvPr id="61453" name="Check Box 13" hidden="1">
              <a:extLst>
                <a:ext uri="{63B3BB69-23CF-44E3-9099-C40C66FF867C}">
                  <a14:compatExt spid="_x0000_s61453"/>
                </a:ext>
                <a:ext uri="{FF2B5EF4-FFF2-40B4-BE49-F238E27FC236}">
                  <a16:creationId xmlns:a16="http://schemas.microsoft.com/office/drawing/2014/main" id="{00000000-0008-0000-0A00-00000D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Segoe UI"/>
                  <a:cs typeface="Segoe UI"/>
                </a:rPr>
                <a:t>Upgrade existing electric equipment to higher efficiency technology (electric resistance to heat pump, induction, etc.)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24</xdr:row>
          <xdr:rowOff>215900</xdr:rowOff>
        </xdr:from>
        <xdr:to>
          <xdr:col>4</xdr:col>
          <xdr:colOff>520700</xdr:colOff>
          <xdr:row>25</xdr:row>
          <xdr:rowOff>139700</xdr:rowOff>
        </xdr:to>
        <xdr:sp macro="" textlink="">
          <xdr:nvSpPr>
            <xdr:cNvPr id="61454" name="Check Box 14" hidden="1">
              <a:extLst>
                <a:ext uri="{63B3BB69-23CF-44E3-9099-C40C66FF867C}">
                  <a14:compatExt spid="_x0000_s61454"/>
                </a:ext>
                <a:ext uri="{FF2B5EF4-FFF2-40B4-BE49-F238E27FC236}">
                  <a16:creationId xmlns:a16="http://schemas.microsoft.com/office/drawing/2014/main" id="{00000000-0008-0000-0A00-00000E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Segoe UI"/>
                  <a:cs typeface="Segoe UI"/>
                </a:rPr>
                <a:t>Upgrade DHW heating equipment to electric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34</xdr:row>
          <xdr:rowOff>50800</xdr:rowOff>
        </xdr:from>
        <xdr:to>
          <xdr:col>5</xdr:col>
          <xdr:colOff>444500</xdr:colOff>
          <xdr:row>35</xdr:row>
          <xdr:rowOff>114300</xdr:rowOff>
        </xdr:to>
        <xdr:sp macro="" textlink="">
          <xdr:nvSpPr>
            <xdr:cNvPr id="61455" name="Check Box 15" hidden="1">
              <a:extLst>
                <a:ext uri="{63B3BB69-23CF-44E3-9099-C40C66FF867C}">
                  <a14:compatExt spid="_x0000_s61455"/>
                </a:ext>
                <a:ext uri="{FF2B5EF4-FFF2-40B4-BE49-F238E27FC236}">
                  <a16:creationId xmlns:a16="http://schemas.microsoft.com/office/drawing/2014/main" id="{00000000-0008-0000-0A00-00000F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Segoe UI"/>
                  <a:cs typeface="Segoe UI"/>
                </a:rPr>
                <a:t>Upfront cost of equipment and installation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35</xdr:row>
          <xdr:rowOff>177800</xdr:rowOff>
        </xdr:from>
        <xdr:to>
          <xdr:col>4</xdr:col>
          <xdr:colOff>1066800</xdr:colOff>
          <xdr:row>36</xdr:row>
          <xdr:rowOff>139700</xdr:rowOff>
        </xdr:to>
        <xdr:sp macro="" textlink="">
          <xdr:nvSpPr>
            <xdr:cNvPr id="61456" name="Check Box 16" hidden="1">
              <a:extLst>
                <a:ext uri="{63B3BB69-23CF-44E3-9099-C40C66FF867C}">
                  <a14:compatExt spid="_x0000_s61456"/>
                </a:ext>
                <a:ext uri="{FF2B5EF4-FFF2-40B4-BE49-F238E27FC236}">
                  <a16:creationId xmlns:a16="http://schemas.microsoft.com/office/drawing/2014/main" id="{00000000-0008-0000-0A00-000010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Segoe UI"/>
                  <a:cs typeface="Segoe UI"/>
                </a:rPr>
                <a:t>Cost of electricity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36</xdr:row>
          <xdr:rowOff>203200</xdr:rowOff>
        </xdr:from>
        <xdr:to>
          <xdr:col>4</xdr:col>
          <xdr:colOff>1333500</xdr:colOff>
          <xdr:row>37</xdr:row>
          <xdr:rowOff>177800</xdr:rowOff>
        </xdr:to>
        <xdr:sp macro="" textlink="">
          <xdr:nvSpPr>
            <xdr:cNvPr id="61457" name="Check Box 17" hidden="1">
              <a:extLst>
                <a:ext uri="{63B3BB69-23CF-44E3-9099-C40C66FF867C}">
                  <a14:compatExt spid="_x0000_s61457"/>
                </a:ext>
                <a:ext uri="{FF2B5EF4-FFF2-40B4-BE49-F238E27FC236}">
                  <a16:creationId xmlns:a16="http://schemas.microsoft.com/office/drawing/2014/main" id="{00000000-0008-0000-0A00-000011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Segoe UI"/>
                  <a:cs typeface="Segoe UI"/>
                </a:rPr>
                <a:t>Space constraints for heat pump equipment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38</xdr:row>
          <xdr:rowOff>25400</xdr:rowOff>
        </xdr:from>
        <xdr:to>
          <xdr:col>7</xdr:col>
          <xdr:colOff>0</xdr:colOff>
          <xdr:row>38</xdr:row>
          <xdr:rowOff>203200</xdr:rowOff>
        </xdr:to>
        <xdr:sp macro="" textlink="">
          <xdr:nvSpPr>
            <xdr:cNvPr id="61458" name="Check Box 18" hidden="1">
              <a:extLst>
                <a:ext uri="{63B3BB69-23CF-44E3-9099-C40C66FF867C}">
                  <a14:compatExt spid="_x0000_s61458"/>
                </a:ext>
                <a:ext uri="{FF2B5EF4-FFF2-40B4-BE49-F238E27FC236}">
                  <a16:creationId xmlns:a16="http://schemas.microsoft.com/office/drawing/2014/main" id="{00000000-0008-0000-0A00-000012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Segoe UI"/>
                  <a:cs typeface="Segoe UI"/>
                </a:rPr>
                <a:t>Domestic Hot Water: No suitable technology is available for this specific building application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39</xdr:row>
          <xdr:rowOff>279400</xdr:rowOff>
        </xdr:from>
        <xdr:to>
          <xdr:col>5</xdr:col>
          <xdr:colOff>190500</xdr:colOff>
          <xdr:row>39</xdr:row>
          <xdr:rowOff>469900</xdr:rowOff>
        </xdr:to>
        <xdr:sp macro="" textlink="">
          <xdr:nvSpPr>
            <xdr:cNvPr id="61459" name="Check Box 19" hidden="1">
              <a:extLst>
                <a:ext uri="{63B3BB69-23CF-44E3-9099-C40C66FF867C}">
                  <a14:compatExt spid="_x0000_s61459"/>
                </a:ext>
                <a:ext uri="{FF2B5EF4-FFF2-40B4-BE49-F238E27FC236}">
                  <a16:creationId xmlns:a16="http://schemas.microsoft.com/office/drawing/2014/main" id="{00000000-0008-0000-0A00-000013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Segoe UI"/>
                  <a:cs typeface="Segoe UI"/>
                </a:rPr>
                <a:t>Property is already fully electric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26</xdr:row>
          <xdr:rowOff>165100</xdr:rowOff>
        </xdr:from>
        <xdr:to>
          <xdr:col>8</xdr:col>
          <xdr:colOff>101600</xdr:colOff>
          <xdr:row>27</xdr:row>
          <xdr:rowOff>76200</xdr:rowOff>
        </xdr:to>
        <xdr:sp macro="" textlink="">
          <xdr:nvSpPr>
            <xdr:cNvPr id="61461" name="Check Box 21" hidden="1">
              <a:extLst>
                <a:ext uri="{63B3BB69-23CF-44E3-9099-C40C66FF867C}">
                  <a14:compatExt spid="_x0000_s61461"/>
                </a:ext>
                <a:ext uri="{FF2B5EF4-FFF2-40B4-BE49-F238E27FC236}">
                  <a16:creationId xmlns:a16="http://schemas.microsoft.com/office/drawing/2014/main" id="{00000000-0008-0000-0A00-000015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Segoe UI"/>
                  <a:cs typeface="Segoe UI"/>
                </a:rPr>
                <a:t>Install electric vehicle (EV) charging stations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39</xdr:row>
          <xdr:rowOff>50800</xdr:rowOff>
        </xdr:from>
        <xdr:to>
          <xdr:col>7</xdr:col>
          <xdr:colOff>495300</xdr:colOff>
          <xdr:row>39</xdr:row>
          <xdr:rowOff>228600</xdr:rowOff>
        </xdr:to>
        <xdr:sp macro="" textlink="">
          <xdr:nvSpPr>
            <xdr:cNvPr id="61462" name="Check Box 22" hidden="1">
              <a:extLst>
                <a:ext uri="{63B3BB69-23CF-44E3-9099-C40C66FF867C}">
                  <a14:compatExt spid="_x0000_s61462"/>
                </a:ext>
                <a:ext uri="{FF2B5EF4-FFF2-40B4-BE49-F238E27FC236}">
                  <a16:creationId xmlns:a16="http://schemas.microsoft.com/office/drawing/2014/main" id="{00000000-0008-0000-0A00-000016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Segoe UI"/>
                  <a:cs typeface="Segoe UI"/>
                </a:rPr>
                <a:t>Space Heating/Other: No suitable technology is available for this specific building application</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133350</xdr:colOff>
      <xdr:row>7</xdr:row>
      <xdr:rowOff>152400</xdr:rowOff>
    </xdr:from>
    <xdr:to>
      <xdr:col>4</xdr:col>
      <xdr:colOff>74084</xdr:colOff>
      <xdr:row>16</xdr:row>
      <xdr:rowOff>152400</xdr:rowOff>
    </xdr:to>
    <xdr:graphicFrame macro="">
      <xdr:nvGraphicFramePr>
        <xdr:cNvPr id="2" name="Chart 1">
          <a:extLst>
            <a:ext uri="{FF2B5EF4-FFF2-40B4-BE49-F238E27FC236}">
              <a16:creationId xmlns:a16="http://schemas.microsoft.com/office/drawing/2014/main" id="{00000000-0008-0000-1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measures_table" displayName="measures_table" ref="A1:N24" totalsRowShown="0">
  <autoFilter ref="A1:N24" xr:uid="{00000000-0009-0000-0100-000001000000}"/>
  <tableColumns count="14">
    <tableColumn id="12" xr3:uid="{00000000-0010-0000-0000-00000C000000}" name="Advanced controls and metering"/>
    <tableColumn id="2" xr3:uid="{00000000-0010-0000-0000-000002000000}" name="Appliances and plug load reductions"/>
    <tableColumn id="15" xr3:uid="{00000000-0010-0000-0000-00000F000000}" name="Boiler plant improvements"/>
    <tableColumn id="3" xr3:uid="{00000000-0010-0000-0000-000003000000}" name="Building envelope"/>
    <tableColumn id="4" xr3:uid="{00000000-0010-0000-0000-000004000000}" name="Chiller plant improvements"/>
    <tableColumn id="5" xr3:uid="{00000000-0010-0000-0000-000005000000}" name="Distributed generation"/>
    <tableColumn id="6" xr3:uid="{00000000-0010-0000-0000-000006000000}" name="Domestic hot water heating"/>
    <tableColumn id="7" xr3:uid="{00000000-0010-0000-0000-000007000000}" name="Electric motors and drives"/>
    <tableColumn id="8" xr3:uid="{00000000-0010-0000-0000-000008000000}" name="Heating ventilating and air conditioning"/>
    <tableColumn id="9" xr3:uid="{00000000-0010-0000-0000-000009000000}" name="Lighting"/>
    <tableColumn id="10" xr3:uid="{00000000-0010-0000-0000-00000A000000}" name="Renewable energy systems"/>
    <tableColumn id="13" xr3:uid="{00000000-0010-0000-0000-00000D000000}" name="Water and sewer conservation"/>
    <tableColumn id="1" xr3:uid="{00000000-0010-0000-0000-000001000000}" name="Water and steam distribution"/>
    <tableColumn id="11" xr3:uid="{00000000-0010-0000-0000-00000B000000}" name="Uncategorized"/>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5.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0.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0.xml"/><Relationship Id="rId13" Type="http://schemas.openxmlformats.org/officeDocument/2006/relationships/ctrlProp" Target="../ctrlProps/ctrlProp15.xml"/><Relationship Id="rId3" Type="http://schemas.openxmlformats.org/officeDocument/2006/relationships/vmlDrawing" Target="../drawings/vmlDrawing6.vml"/><Relationship Id="rId7" Type="http://schemas.openxmlformats.org/officeDocument/2006/relationships/ctrlProp" Target="../ctrlProps/ctrlProp9.xml"/><Relationship Id="rId12" Type="http://schemas.openxmlformats.org/officeDocument/2006/relationships/ctrlProp" Target="../ctrlProps/ctrlProp14.xml"/><Relationship Id="rId2" Type="http://schemas.openxmlformats.org/officeDocument/2006/relationships/drawing" Target="../drawings/drawing3.xml"/><Relationship Id="rId1" Type="http://schemas.openxmlformats.org/officeDocument/2006/relationships/printerSettings" Target="../printerSettings/printerSettings11.bin"/><Relationship Id="rId6" Type="http://schemas.openxmlformats.org/officeDocument/2006/relationships/ctrlProp" Target="../ctrlProps/ctrlProp8.xml"/><Relationship Id="rId11" Type="http://schemas.openxmlformats.org/officeDocument/2006/relationships/ctrlProp" Target="../ctrlProps/ctrlProp13.xml"/><Relationship Id="rId5" Type="http://schemas.openxmlformats.org/officeDocument/2006/relationships/ctrlProp" Target="../ctrlProps/ctrlProp7.xml"/><Relationship Id="rId15" Type="http://schemas.openxmlformats.org/officeDocument/2006/relationships/ctrlProp" Target="../ctrlProps/ctrlProp17.xml"/><Relationship Id="rId10" Type="http://schemas.openxmlformats.org/officeDocument/2006/relationships/ctrlProp" Target="../ctrlProps/ctrlProp12.xml"/><Relationship Id="rId4" Type="http://schemas.openxmlformats.org/officeDocument/2006/relationships/ctrlProp" Target="../ctrlProps/ctrlProp6.xml"/><Relationship Id="rId9" Type="http://schemas.openxmlformats.org/officeDocument/2006/relationships/ctrlProp" Target="../ctrlProps/ctrlProp11.xml"/><Relationship Id="rId14" Type="http://schemas.openxmlformats.org/officeDocument/2006/relationships/ctrlProp" Target="../ctrlProps/ctrlProp16.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multifamily.fanniemae.com/financing-options/specialty-financing/green-financing/hpb-energy-audit-report" TargetMode="External"/><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A1:K32"/>
  <sheetViews>
    <sheetView showGridLines="0" tabSelected="1" topLeftCell="A3" zoomScale="90" zoomScaleNormal="90" workbookViewId="0">
      <selection activeCell="C5" sqref="C5:K5"/>
    </sheetView>
  </sheetViews>
  <sheetFormatPr baseColWidth="10" defaultColWidth="9.33203125" defaultRowHeight="15" x14ac:dyDescent="0.2"/>
  <cols>
    <col min="1" max="1" width="2.5" style="92" customWidth="1"/>
    <col min="2" max="2" width="2.33203125" style="92" customWidth="1"/>
    <col min="3" max="3" width="3.33203125" style="92" customWidth="1"/>
    <col min="4" max="4" width="26.33203125" style="92" customWidth="1"/>
    <col min="5" max="9" width="9.33203125" style="92"/>
    <col min="10" max="10" width="14.33203125" style="92" customWidth="1"/>
    <col min="11" max="11" width="13.33203125" style="92" customWidth="1"/>
    <col min="12" max="12" width="4" style="92" customWidth="1"/>
    <col min="13" max="16384" width="9.33203125" style="92"/>
  </cols>
  <sheetData>
    <row r="1" spans="1:11" x14ac:dyDescent="0.2">
      <c r="A1" s="89" t="s">
        <v>0</v>
      </c>
      <c r="B1" s="89"/>
      <c r="C1" s="90"/>
      <c r="D1" s="91"/>
      <c r="E1" s="91"/>
    </row>
    <row r="2" spans="1:11" ht="23.25" customHeight="1" x14ac:dyDescent="0.2">
      <c r="B2" s="90" t="s">
        <v>1</v>
      </c>
      <c r="C2" s="91"/>
      <c r="D2" s="91"/>
      <c r="E2" s="91"/>
      <c r="F2" s="91"/>
      <c r="G2" s="91"/>
      <c r="H2" s="91"/>
      <c r="I2" s="91"/>
    </row>
    <row r="3" spans="1:11" ht="23.25" customHeight="1" x14ac:dyDescent="0.2">
      <c r="A3" s="89"/>
      <c r="B3" s="90"/>
      <c r="C3" s="91"/>
      <c r="D3" s="91"/>
      <c r="E3" s="91"/>
      <c r="F3" s="91"/>
      <c r="G3" s="91"/>
      <c r="H3" s="91"/>
      <c r="I3" s="91"/>
    </row>
    <row r="4" spans="1:11" ht="48.75" customHeight="1" x14ac:dyDescent="0.3">
      <c r="C4" s="789" t="s">
        <v>2</v>
      </c>
      <c r="D4" s="789"/>
      <c r="E4" s="789"/>
      <c r="F4" s="789"/>
      <c r="G4" s="789"/>
      <c r="H4" s="789"/>
      <c r="I4" s="789"/>
      <c r="J4" s="789"/>
      <c r="K4" s="789"/>
    </row>
    <row r="5" spans="1:11" ht="25.5" customHeight="1" x14ac:dyDescent="0.25">
      <c r="C5" s="779" t="s">
        <v>1019</v>
      </c>
      <c r="D5" s="779"/>
      <c r="E5" s="779"/>
      <c r="F5" s="779"/>
      <c r="G5" s="779"/>
      <c r="H5" s="779"/>
      <c r="I5" s="779"/>
      <c r="J5" s="779"/>
      <c r="K5" s="779"/>
    </row>
    <row r="6" spans="1:11" ht="27" customHeight="1" thickBot="1" x14ac:dyDescent="0.25">
      <c r="C6" s="93" t="s">
        <v>3</v>
      </c>
      <c r="D6" s="94"/>
      <c r="E6" s="94"/>
      <c r="F6" s="94"/>
      <c r="G6" s="94"/>
      <c r="H6" s="94"/>
      <c r="I6" s="94"/>
      <c r="J6" s="94"/>
      <c r="K6" s="94"/>
    </row>
    <row r="7" spans="1:11" s="95" customFormat="1" ht="14" customHeight="1" x14ac:dyDescent="0.2"/>
    <row r="8" spans="1:11" s="95" customFormat="1" ht="31.5" customHeight="1" x14ac:dyDescent="0.2">
      <c r="D8" s="96" t="s">
        <v>4</v>
      </c>
      <c r="E8" s="791" t="s">
        <v>5</v>
      </c>
      <c r="F8" s="792"/>
      <c r="G8" s="792"/>
      <c r="H8" s="792"/>
      <c r="I8" s="792"/>
      <c r="J8" s="792"/>
      <c r="K8" s="793"/>
    </row>
    <row r="9" spans="1:11" s="95" customFormat="1" ht="31.5" customHeight="1" x14ac:dyDescent="0.2">
      <c r="D9" s="97" t="s">
        <v>6</v>
      </c>
      <c r="E9" s="791" t="s">
        <v>7</v>
      </c>
      <c r="F9" s="792"/>
      <c r="G9" s="792"/>
      <c r="H9" s="792"/>
      <c r="I9" s="792"/>
      <c r="J9" s="792"/>
      <c r="K9" s="793"/>
    </row>
    <row r="10" spans="1:11" s="95" customFormat="1" ht="18" customHeight="1" x14ac:dyDescent="0.2">
      <c r="D10" s="98" t="s">
        <v>8</v>
      </c>
      <c r="E10" s="780" t="s">
        <v>9</v>
      </c>
      <c r="F10" s="781"/>
      <c r="G10" s="781"/>
      <c r="H10" s="781"/>
      <c r="I10" s="781"/>
      <c r="J10" s="781"/>
      <c r="K10" s="782"/>
    </row>
    <row r="11" spans="1:11" s="95" customFormat="1" ht="18" customHeight="1" x14ac:dyDescent="0.2">
      <c r="D11" s="98" t="s">
        <v>10</v>
      </c>
      <c r="E11" s="783"/>
      <c r="F11" s="784"/>
      <c r="G11" s="784"/>
      <c r="H11" s="784"/>
      <c r="I11" s="784"/>
      <c r="J11" s="784"/>
      <c r="K11" s="785"/>
    </row>
    <row r="12" spans="1:11" s="95" customFormat="1" ht="18" customHeight="1" x14ac:dyDescent="0.2">
      <c r="D12" s="98" t="s">
        <v>11</v>
      </c>
      <c r="E12" s="783"/>
      <c r="F12" s="784"/>
      <c r="G12" s="784"/>
      <c r="H12" s="784"/>
      <c r="I12" s="784"/>
      <c r="J12" s="784"/>
      <c r="K12" s="785"/>
    </row>
    <row r="13" spans="1:11" s="95" customFormat="1" ht="18" customHeight="1" x14ac:dyDescent="0.2">
      <c r="D13" s="98" t="s">
        <v>12</v>
      </c>
      <c r="E13" s="783"/>
      <c r="F13" s="784"/>
      <c r="G13" s="784"/>
      <c r="H13" s="784"/>
      <c r="I13" s="784"/>
      <c r="J13" s="784"/>
      <c r="K13" s="785"/>
    </row>
    <row r="14" spans="1:11" s="95" customFormat="1" ht="18" customHeight="1" x14ac:dyDescent="0.2">
      <c r="D14" s="98" t="s">
        <v>13</v>
      </c>
      <c r="E14" s="783"/>
      <c r="F14" s="784"/>
      <c r="G14" s="784"/>
      <c r="H14" s="784"/>
      <c r="I14" s="784"/>
      <c r="J14" s="784"/>
      <c r="K14" s="785"/>
    </row>
    <row r="15" spans="1:11" s="95" customFormat="1" ht="18" customHeight="1" x14ac:dyDescent="0.2">
      <c r="D15" s="98" t="s">
        <v>14</v>
      </c>
      <c r="E15" s="786"/>
      <c r="F15" s="787"/>
      <c r="G15" s="787"/>
      <c r="H15" s="787"/>
      <c r="I15" s="787"/>
      <c r="J15" s="787"/>
      <c r="K15" s="788"/>
    </row>
    <row r="16" spans="1:11" s="95" customFormat="1" ht="18" customHeight="1" x14ac:dyDescent="0.2">
      <c r="D16" s="99" t="s">
        <v>15</v>
      </c>
      <c r="E16" s="794" t="s">
        <v>16</v>
      </c>
      <c r="F16" s="795"/>
      <c r="G16" s="795"/>
      <c r="H16" s="795"/>
      <c r="I16" s="795"/>
      <c r="J16" s="795"/>
      <c r="K16" s="796"/>
    </row>
    <row r="17" spans="3:11" s="95" customFormat="1" ht="18" customHeight="1" x14ac:dyDescent="0.2">
      <c r="D17" s="99" t="s">
        <v>17</v>
      </c>
      <c r="E17" s="797"/>
      <c r="F17" s="798"/>
      <c r="G17" s="798"/>
      <c r="H17" s="798"/>
      <c r="I17" s="798"/>
      <c r="J17" s="798"/>
      <c r="K17" s="799"/>
    </row>
    <row r="18" spans="3:11" s="95" customFormat="1" ht="18" customHeight="1" x14ac:dyDescent="0.2">
      <c r="D18" s="99" t="s">
        <v>18</v>
      </c>
      <c r="E18" s="797"/>
      <c r="F18" s="798"/>
      <c r="G18" s="798"/>
      <c r="H18" s="798"/>
      <c r="I18" s="798"/>
      <c r="J18" s="798"/>
      <c r="K18" s="799"/>
    </row>
    <row r="19" spans="3:11" s="95" customFormat="1" ht="18" customHeight="1" x14ac:dyDescent="0.2">
      <c r="D19" s="99" t="s">
        <v>19</v>
      </c>
      <c r="E19" s="800"/>
      <c r="F19" s="801"/>
      <c r="G19" s="801"/>
      <c r="H19" s="801"/>
      <c r="I19" s="801"/>
      <c r="J19" s="801"/>
      <c r="K19" s="802"/>
    </row>
    <row r="20" spans="3:11" s="95" customFormat="1" ht="18" customHeight="1" x14ac:dyDescent="0.2">
      <c r="C20" s="100"/>
      <c r="D20" s="101" t="s">
        <v>20</v>
      </c>
      <c r="E20" s="790" t="s">
        <v>21</v>
      </c>
      <c r="F20" s="790"/>
      <c r="G20" s="790"/>
      <c r="H20" s="790"/>
      <c r="I20" s="790"/>
      <c r="J20" s="790"/>
      <c r="K20" s="790"/>
    </row>
    <row r="21" spans="3:11" s="95" customFormat="1" ht="14" customHeight="1" x14ac:dyDescent="0.2">
      <c r="C21" s="100"/>
    </row>
    <row r="22" spans="3:11" s="95" customFormat="1" ht="25.5" customHeight="1" thickBot="1" x14ac:dyDescent="0.25">
      <c r="C22" s="93" t="s">
        <v>22</v>
      </c>
      <c r="D22" s="94"/>
      <c r="E22" s="94"/>
      <c r="F22" s="94"/>
      <c r="G22" s="94"/>
      <c r="H22" s="94"/>
      <c r="I22" s="94"/>
      <c r="J22" s="94"/>
      <c r="K22" s="94"/>
    </row>
    <row r="23" spans="3:11" s="95" customFormat="1" ht="15" customHeight="1" x14ac:dyDescent="0.2">
      <c r="C23" s="102"/>
    </row>
    <row r="24" spans="3:11" s="95" customFormat="1" ht="21" customHeight="1" x14ac:dyDescent="0.2">
      <c r="C24" s="103" t="s">
        <v>23</v>
      </c>
    </row>
    <row r="25" spans="3:11" s="104" customFormat="1" ht="35" customHeight="1" x14ac:dyDescent="0.2">
      <c r="C25" s="105" t="s">
        <v>24</v>
      </c>
      <c r="D25" s="778" t="s">
        <v>25</v>
      </c>
      <c r="E25" s="778"/>
      <c r="F25" s="778"/>
      <c r="G25" s="778"/>
      <c r="H25" s="778"/>
      <c r="I25" s="778"/>
      <c r="J25" s="778"/>
      <c r="K25" s="778"/>
    </row>
    <row r="26" spans="3:11" s="104" customFormat="1" ht="21" customHeight="1" x14ac:dyDescent="0.2">
      <c r="C26" s="105" t="s">
        <v>26</v>
      </c>
      <c r="D26" s="778" t="s">
        <v>27</v>
      </c>
      <c r="E26" s="778"/>
      <c r="F26" s="778"/>
      <c r="G26" s="778"/>
      <c r="H26" s="778"/>
      <c r="I26" s="778"/>
      <c r="J26" s="778"/>
      <c r="K26" s="778"/>
    </row>
    <row r="27" spans="3:11" s="104" customFormat="1" ht="37.5" customHeight="1" x14ac:dyDescent="0.2">
      <c r="C27" s="105" t="s">
        <v>28</v>
      </c>
      <c r="D27" s="778" t="s">
        <v>29</v>
      </c>
      <c r="E27" s="778"/>
      <c r="F27" s="778"/>
      <c r="G27" s="778"/>
      <c r="H27" s="778"/>
      <c r="I27" s="778"/>
      <c r="J27" s="778"/>
      <c r="K27" s="778"/>
    </row>
    <row r="28" spans="3:11" s="106" customFormat="1" ht="22.5" customHeight="1" x14ac:dyDescent="0.2">
      <c r="C28" s="103" t="s">
        <v>30</v>
      </c>
      <c r="D28" s="764"/>
      <c r="E28" s="764"/>
      <c r="F28" s="764"/>
      <c r="G28" s="764"/>
      <c r="H28" s="764"/>
      <c r="I28" s="764"/>
      <c r="J28" s="764"/>
      <c r="K28" s="764"/>
    </row>
    <row r="29" spans="3:11" s="104" customFormat="1" ht="22.5" customHeight="1" x14ac:dyDescent="0.2">
      <c r="C29" s="105" t="s">
        <v>24</v>
      </c>
      <c r="D29" s="778" t="s">
        <v>31</v>
      </c>
      <c r="E29" s="778"/>
      <c r="F29" s="778"/>
      <c r="G29" s="778"/>
      <c r="H29" s="778"/>
      <c r="I29" s="778"/>
      <c r="J29" s="778"/>
      <c r="K29" s="778"/>
    </row>
    <row r="30" spans="3:11" s="104" customFormat="1" ht="21.75" customHeight="1" x14ac:dyDescent="0.2">
      <c r="C30" s="105" t="s">
        <v>26</v>
      </c>
      <c r="D30" s="778" t="s">
        <v>32</v>
      </c>
      <c r="E30" s="778"/>
      <c r="F30" s="778"/>
      <c r="G30" s="778"/>
      <c r="H30" s="778"/>
      <c r="I30" s="778"/>
      <c r="J30" s="778"/>
      <c r="K30" s="778"/>
    </row>
    <row r="31" spans="3:11" s="104" customFormat="1" ht="33" customHeight="1" x14ac:dyDescent="0.2">
      <c r="C31" s="105" t="s">
        <v>28</v>
      </c>
      <c r="D31" s="778" t="s">
        <v>33</v>
      </c>
      <c r="E31" s="778"/>
      <c r="F31" s="778"/>
      <c r="G31" s="778"/>
      <c r="H31" s="778"/>
      <c r="I31" s="778"/>
      <c r="J31" s="778"/>
      <c r="K31" s="778"/>
    </row>
    <row r="32" spans="3:11" s="104" customFormat="1" ht="22.25" customHeight="1" x14ac:dyDescent="0.2">
      <c r="C32" s="105" t="s">
        <v>34</v>
      </c>
      <c r="D32" s="778" t="s">
        <v>35</v>
      </c>
      <c r="E32" s="778"/>
      <c r="F32" s="778"/>
      <c r="G32" s="778"/>
      <c r="H32" s="778"/>
      <c r="I32" s="778"/>
      <c r="J32" s="778"/>
      <c r="K32" s="778"/>
    </row>
  </sheetData>
  <sheetProtection algorithmName="SHA-512" hashValue="vcV7gJHPvowDzQrOL9gmxoql8wMjiuVaCAnoYAY1ukndpdHzBq7xdejPH0byn/w49cu9tMx8TfEQrYtUP2x5MA==" saltValue="BTdvehIv4dE4HWiLsRdOlQ==" spinCount="100000" sheet="1" objects="1" scenarios="1"/>
  <mergeCells count="14">
    <mergeCell ref="C4:K4"/>
    <mergeCell ref="E20:K20"/>
    <mergeCell ref="E9:K9"/>
    <mergeCell ref="E8:K8"/>
    <mergeCell ref="E16:K19"/>
    <mergeCell ref="D32:K32"/>
    <mergeCell ref="D29:K29"/>
    <mergeCell ref="D31:K31"/>
    <mergeCell ref="D30:K30"/>
    <mergeCell ref="C5:K5"/>
    <mergeCell ref="D26:K26"/>
    <mergeCell ref="E10:K15"/>
    <mergeCell ref="D27:K27"/>
    <mergeCell ref="D25:K25"/>
  </mergeCells>
  <pageMargins left="0.7" right="0.7" top="0.75" bottom="0.75" header="0.3" footer="0.3"/>
  <pageSetup paperSize="5" scale="84" orientation="landscape" r:id="rId1"/>
  <headerFooter>
    <oddFooter>&amp;L&amp;"Source Sans Pro,Regular"&amp;8© 2023 Fannie Mae. Trademarks of Fannie Mae._x000D_&amp;1#&amp;"Calibri"&amp;10&amp;K000000 Fannie Mae Confidential&amp;C&amp;"Source Sans Pro,Regular"&amp;8Form 4099.H - October 2023&amp;R&amp;"Source Sans Pro,Regular"&amp;8Page &amp;P of &amp;N</oddFoot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autoPageBreaks="0"/>
  </sheetPr>
  <dimension ref="B1:L34"/>
  <sheetViews>
    <sheetView showGridLines="0" zoomScaleNormal="100" workbookViewId="0"/>
  </sheetViews>
  <sheetFormatPr baseColWidth="10" defaultColWidth="9.33203125" defaultRowHeight="15" x14ac:dyDescent="0.2"/>
  <cols>
    <col min="1" max="2" width="2.33203125" style="92" customWidth="1"/>
    <col min="3" max="3" width="16.6640625" style="92" customWidth="1"/>
    <col min="4" max="10" width="13.6640625" style="92" customWidth="1"/>
    <col min="11" max="11" width="18.5" style="92" customWidth="1"/>
    <col min="12" max="12" width="20.5" style="92" customWidth="1"/>
    <col min="13" max="16384" width="9.33203125" style="92"/>
  </cols>
  <sheetData>
    <row r="1" spans="2:12" ht="23.25" customHeight="1" x14ac:dyDescent="0.2">
      <c r="B1" s="90" t="s">
        <v>1</v>
      </c>
      <c r="C1" s="91"/>
      <c r="D1" s="91"/>
      <c r="E1" s="91"/>
      <c r="F1" s="91"/>
      <c r="G1" s="91"/>
      <c r="H1" s="91"/>
      <c r="I1" s="91"/>
    </row>
    <row r="2" spans="2:12" ht="15" customHeight="1" x14ac:dyDescent="0.2">
      <c r="C2" s="91"/>
      <c r="D2" s="91"/>
      <c r="E2" s="91"/>
      <c r="F2" s="91"/>
      <c r="G2" s="91"/>
      <c r="H2" s="91"/>
      <c r="I2" s="91"/>
      <c r="J2" s="91"/>
    </row>
    <row r="3" spans="2:12" ht="25" x14ac:dyDescent="0.3">
      <c r="B3" s="107" t="s">
        <v>399</v>
      </c>
      <c r="G3" s="91"/>
    </row>
    <row r="4" spans="2:12" ht="45" customHeight="1" x14ac:dyDescent="0.2">
      <c r="B4" s="877" t="s">
        <v>400</v>
      </c>
      <c r="C4" s="877"/>
      <c r="D4" s="877"/>
      <c r="E4" s="877"/>
      <c r="F4" s="877"/>
      <c r="G4" s="877"/>
      <c r="H4" s="877"/>
      <c r="I4" s="877"/>
      <c r="J4" s="877"/>
    </row>
    <row r="5" spans="2:12" ht="21" customHeight="1" x14ac:dyDescent="0.2">
      <c r="G5" s="91"/>
    </row>
    <row r="6" spans="2:12" ht="19" thickBot="1" x14ac:dyDescent="0.3">
      <c r="B6" s="207" t="s">
        <v>401</v>
      </c>
      <c r="C6" s="94"/>
      <c r="D6" s="94"/>
      <c r="E6" s="94"/>
      <c r="F6" s="94"/>
      <c r="G6" s="94"/>
      <c r="H6" s="94"/>
      <c r="I6" s="94"/>
      <c r="J6" s="94"/>
    </row>
    <row r="7" spans="2:12" ht="17.25" customHeight="1" x14ac:dyDescent="0.2">
      <c r="C7" s="248"/>
      <c r="D7" s="426"/>
      <c r="E7" s="248"/>
      <c r="F7" s="248"/>
      <c r="G7" s="248"/>
      <c r="H7" s="248"/>
      <c r="I7" s="248"/>
      <c r="J7" s="251"/>
      <c r="K7" s="225"/>
    </row>
    <row r="8" spans="2:12" ht="37.5" customHeight="1" x14ac:dyDescent="0.2">
      <c r="C8" s="836" t="s">
        <v>402</v>
      </c>
      <c r="D8" s="836"/>
      <c r="E8" s="836"/>
      <c r="K8" s="225"/>
    </row>
    <row r="9" spans="2:12" ht="9.75" customHeight="1" x14ac:dyDescent="0.2">
      <c r="H9" s="119"/>
      <c r="I9" s="427"/>
      <c r="K9" s="225"/>
    </row>
    <row r="10" spans="2:12" ht="17.25" customHeight="1" x14ac:dyDescent="0.2">
      <c r="C10" s="428"/>
      <c r="D10" s="738"/>
      <c r="F10" s="118" t="s">
        <v>403</v>
      </c>
      <c r="G10" s="1003"/>
      <c r="H10" s="1004"/>
      <c r="I10" s="1004"/>
      <c r="J10" s="1005"/>
      <c r="K10" s="225"/>
    </row>
    <row r="11" spans="2:12" ht="17.25" customHeight="1" x14ac:dyDescent="0.2">
      <c r="K11" s="225"/>
    </row>
    <row r="12" spans="2:12" ht="25.5" customHeight="1" x14ac:dyDescent="0.2">
      <c r="E12" s="119" t="s">
        <v>404</v>
      </c>
      <c r="F12" s="429">
        <v>20</v>
      </c>
      <c r="G12" s="295" t="s">
        <v>394</v>
      </c>
      <c r="H12" s="109"/>
      <c r="L12" s="294"/>
    </row>
    <row r="13" spans="2:12" ht="25.5" customHeight="1" x14ac:dyDescent="0.2">
      <c r="E13" s="119" t="s">
        <v>405</v>
      </c>
      <c r="F13" s="212" t="s">
        <v>757</v>
      </c>
      <c r="H13" s="109"/>
      <c r="L13" s="294"/>
    </row>
    <row r="14" spans="2:12" ht="16.5" customHeight="1" x14ac:dyDescent="0.2">
      <c r="H14" s="109"/>
    </row>
    <row r="15" spans="2:12" ht="23.25" customHeight="1" x14ac:dyDescent="0.2">
      <c r="C15" s="836" t="s">
        <v>406</v>
      </c>
      <c r="D15" s="836"/>
      <c r="E15" s="837"/>
      <c r="F15" s="430" t="s">
        <v>749</v>
      </c>
      <c r="K15" s="225"/>
      <c r="L15" s="251"/>
    </row>
    <row r="16" spans="2:12" ht="12.75" customHeight="1" x14ac:dyDescent="0.2">
      <c r="K16" s="225"/>
      <c r="L16" s="294"/>
    </row>
    <row r="17" spans="2:12" ht="24.75" customHeight="1" x14ac:dyDescent="0.2">
      <c r="C17" s="1006" t="s">
        <v>407</v>
      </c>
      <c r="D17" s="1006"/>
      <c r="E17" s="1006"/>
      <c r="F17" s="1006"/>
      <c r="G17" s="1006"/>
      <c r="H17" s="1006"/>
      <c r="I17" s="1006"/>
      <c r="J17" s="1006"/>
      <c r="K17" s="294"/>
      <c r="L17" s="294"/>
    </row>
    <row r="18" spans="2:12" ht="20.25" customHeight="1" x14ac:dyDescent="0.2">
      <c r="G18" s="248"/>
      <c r="H18" s="248"/>
      <c r="L18" s="109"/>
    </row>
    <row r="19" spans="2:12" ht="19.5" customHeight="1" thickBot="1" x14ac:dyDescent="0.3">
      <c r="B19" s="207" t="s">
        <v>408</v>
      </c>
      <c r="C19" s="305"/>
      <c r="D19" s="306"/>
      <c r="E19" s="307"/>
      <c r="F19" s="308"/>
      <c r="G19" s="309"/>
      <c r="H19" s="94"/>
      <c r="I19" s="94"/>
      <c r="J19" s="311"/>
      <c r="L19" s="251"/>
    </row>
    <row r="20" spans="2:12" ht="19.5" customHeight="1" x14ac:dyDescent="0.2">
      <c r="C20" s="289"/>
      <c r="D20" s="290"/>
      <c r="E20" s="291"/>
      <c r="F20" s="292"/>
      <c r="L20" s="251"/>
    </row>
    <row r="21" spans="2:12" ht="27" customHeight="1" x14ac:dyDescent="0.2">
      <c r="E21" s="119" t="s">
        <v>409</v>
      </c>
      <c r="F21" s="211" t="s">
        <v>746</v>
      </c>
      <c r="G21" s="295"/>
      <c r="K21" s="294"/>
      <c r="L21" s="294"/>
    </row>
    <row r="22" spans="2:12" ht="27" customHeight="1" x14ac:dyDescent="0.2">
      <c r="E22" s="119" t="s">
        <v>410</v>
      </c>
      <c r="F22" s="723">
        <v>850.8</v>
      </c>
      <c r="G22" s="295" t="s">
        <v>289</v>
      </c>
      <c r="K22" s="294"/>
      <c r="L22" s="294"/>
    </row>
    <row r="23" spans="2:12" ht="25.5" customHeight="1" x14ac:dyDescent="0.2">
      <c r="E23" s="119" t="s">
        <v>411</v>
      </c>
      <c r="F23" s="723">
        <v>1411663</v>
      </c>
      <c r="G23" s="295" t="s">
        <v>412</v>
      </c>
      <c r="L23" s="294"/>
    </row>
    <row r="24" spans="2:12" ht="16.5" customHeight="1" x14ac:dyDescent="0.2">
      <c r="E24" s="119"/>
      <c r="F24" s="431"/>
      <c r="G24" s="295"/>
      <c r="L24" s="294"/>
    </row>
    <row r="25" spans="2:12" ht="19.5" customHeight="1" thickBot="1" x14ac:dyDescent="0.3">
      <c r="B25" s="207" t="s">
        <v>413</v>
      </c>
      <c r="C25" s="305"/>
      <c r="D25" s="306"/>
      <c r="E25" s="307"/>
      <c r="F25" s="308"/>
      <c r="G25" s="309"/>
      <c r="H25" s="94"/>
      <c r="I25" s="94"/>
      <c r="J25" s="311"/>
      <c r="L25" s="294"/>
    </row>
    <row r="27" spans="2:12" ht="35" customHeight="1" x14ac:dyDescent="0.2">
      <c r="C27" s="836" t="s">
        <v>414</v>
      </c>
      <c r="D27" s="836"/>
      <c r="E27" s="836"/>
      <c r="F27" s="432" t="s">
        <v>749</v>
      </c>
    </row>
    <row r="28" spans="2:12" ht="35" customHeight="1" x14ac:dyDescent="0.2">
      <c r="C28" s="836" t="s">
        <v>415</v>
      </c>
      <c r="D28" s="836"/>
      <c r="E28" s="836"/>
      <c r="F28" s="433" t="s">
        <v>749</v>
      </c>
    </row>
    <row r="29" spans="2:12" ht="12" customHeight="1" x14ac:dyDescent="0.2">
      <c r="F29" s="434"/>
    </row>
    <row r="33" spans="3:4" x14ac:dyDescent="0.2">
      <c r="D33" s="248"/>
    </row>
    <row r="34" spans="3:4" x14ac:dyDescent="0.2">
      <c r="C34" s="248"/>
      <c r="D34" s="248"/>
    </row>
  </sheetData>
  <sheetProtection algorithmName="SHA-512" hashValue="EZ2NmbbxqdfDIPtgxa37G2bFZ3GEGAN1Dl3IA0JXT6uU/C0pnWQEYUGrR7ehz/MkFhfJMHx9PvE/f/zh2O96XA==" saltValue="HLyqRxy362Q0jbUP/aG/hA==" spinCount="100000" sheet="1" objects="1" scenarios="1"/>
  <mergeCells count="7">
    <mergeCell ref="C28:E28"/>
    <mergeCell ref="G10:J10"/>
    <mergeCell ref="B4:J4"/>
    <mergeCell ref="C8:E8"/>
    <mergeCell ref="C15:E15"/>
    <mergeCell ref="C17:J17"/>
    <mergeCell ref="C27:E27"/>
  </mergeCells>
  <conditionalFormatting sqref="F12:F13">
    <cfRule type="expression" dxfId="4" priority="2">
      <formula>F12=""</formula>
    </cfRule>
  </conditionalFormatting>
  <conditionalFormatting sqref="F15">
    <cfRule type="expression" dxfId="3" priority="3">
      <formula>$F$15=""</formula>
    </cfRule>
  </conditionalFormatting>
  <dataValidations count="2">
    <dataValidation type="decimal" operator="greaterThan" allowBlank="1" showInputMessage="1" showErrorMessage="1" sqref="F24" xr:uid="{00000000-0002-0000-0800-000000000000}">
      <formula1>0</formula1>
    </dataValidation>
    <dataValidation type="decimal" operator="greaterThanOrEqual" allowBlank="1" showInputMessage="1" showErrorMessage="1" sqref="F22:F23 F12" xr:uid="{00000000-0002-0000-0800-000001000000}">
      <formula1>0</formula1>
    </dataValidation>
  </dataValidations>
  <pageMargins left="0.7" right="0.7" top="0.75" bottom="0.75" header="0.3" footer="0.3"/>
  <pageSetup paperSize="5" scale="84" orientation="landscape" r:id="rId1"/>
  <headerFooter>
    <oddFooter>&amp;L&amp;"Source Sans Pro,Regular"&amp;8© 2023 Fannie Mae. Trademarks of Fannie Mae._x000D_&amp;1#&amp;"Calibri"&amp;10&amp;K000000 Fannie Mae Confidential&amp;C&amp;"Source Sans Pro,Regular"&amp;8Form 4099.H - October 2023&amp;R&amp;"Source Sans Pro,Regular"&amp;8Page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8916" r:id="rId4" name="Check Box 4">
              <controlPr defaultSize="0" autoFill="0" autoLine="0" autoPict="0">
                <anchor moveWithCells="1">
                  <from>
                    <xdr:col>5</xdr:col>
                    <xdr:colOff>292100</xdr:colOff>
                    <xdr:row>7</xdr:row>
                    <xdr:rowOff>38100</xdr:rowOff>
                  </from>
                  <to>
                    <xdr:col>6</xdr:col>
                    <xdr:colOff>571500</xdr:colOff>
                    <xdr:row>7</xdr:row>
                    <xdr:rowOff>292100</xdr:rowOff>
                  </to>
                </anchor>
              </controlPr>
            </control>
          </mc:Choice>
        </mc:AlternateContent>
        <mc:AlternateContent xmlns:mc="http://schemas.openxmlformats.org/markup-compatibility/2006">
          <mc:Choice Requires="x14">
            <control shapeId="38917" r:id="rId5" name="Check Box 5">
              <controlPr defaultSize="0" autoFill="0" autoLine="0" autoPict="0">
                <anchor moveWithCells="1">
                  <from>
                    <xdr:col>7</xdr:col>
                    <xdr:colOff>901700</xdr:colOff>
                    <xdr:row>7</xdr:row>
                    <xdr:rowOff>38100</xdr:rowOff>
                  </from>
                  <to>
                    <xdr:col>9</xdr:col>
                    <xdr:colOff>876300</xdr:colOff>
                    <xdr:row>7</xdr:row>
                    <xdr:rowOff>292100</xdr:rowOff>
                  </to>
                </anchor>
              </controlPr>
            </control>
          </mc:Choice>
        </mc:AlternateContent>
        <mc:AlternateContent xmlns:mc="http://schemas.openxmlformats.org/markup-compatibility/2006">
          <mc:Choice Requires="x14">
            <control shapeId="38918" r:id="rId6" name="Check Box 6">
              <controlPr defaultSize="0" autoFill="0" autoLine="0" autoPict="0">
                <anchor moveWithCells="1">
                  <from>
                    <xdr:col>5</xdr:col>
                    <xdr:colOff>292100</xdr:colOff>
                    <xdr:row>7</xdr:row>
                    <xdr:rowOff>266700</xdr:rowOff>
                  </from>
                  <to>
                    <xdr:col>6</xdr:col>
                    <xdr:colOff>571500</xdr:colOff>
                    <xdr:row>8</xdr:row>
                    <xdr:rowOff>25400</xdr:rowOff>
                  </to>
                </anchor>
              </controlPr>
            </control>
          </mc:Choice>
        </mc:AlternateContent>
        <mc:AlternateContent xmlns:mc="http://schemas.openxmlformats.org/markup-compatibility/2006">
          <mc:Choice Requires="x14">
            <control shapeId="38919" r:id="rId7" name="Check Box 7">
              <controlPr defaultSize="0" autoFill="0" autoLine="0" autoPict="0">
                <anchor moveWithCells="1">
                  <from>
                    <xdr:col>6</xdr:col>
                    <xdr:colOff>838200</xdr:colOff>
                    <xdr:row>7</xdr:row>
                    <xdr:rowOff>254000</xdr:rowOff>
                  </from>
                  <to>
                    <xdr:col>7</xdr:col>
                    <xdr:colOff>863600</xdr:colOff>
                    <xdr:row>8</xdr:row>
                    <xdr:rowOff>25400</xdr:rowOff>
                  </to>
                </anchor>
              </controlPr>
            </control>
          </mc:Choice>
        </mc:AlternateContent>
        <mc:AlternateContent xmlns:mc="http://schemas.openxmlformats.org/markup-compatibility/2006">
          <mc:Choice Requires="x14">
            <control shapeId="38921" r:id="rId8" name="Check Box 9">
              <controlPr defaultSize="0" autoFill="0" autoLine="0" autoPict="0">
                <anchor moveWithCells="1">
                  <from>
                    <xdr:col>6</xdr:col>
                    <xdr:colOff>838200</xdr:colOff>
                    <xdr:row>7</xdr:row>
                    <xdr:rowOff>38100</xdr:rowOff>
                  </from>
                  <to>
                    <xdr:col>7</xdr:col>
                    <xdr:colOff>825500</xdr:colOff>
                    <xdr:row>7</xdr:row>
                    <xdr:rowOff>292100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870F945F-AE85-4851-9A58-C4EFBCAE7B4D}">
            <xm:f>AND(F21="",'DB-Solar'!$G$2=FALSE,'DB-Solar'!$H$2=FALSE,'DB-Solar'!$I$2=FALSE,'DB-Solar'!$J$2=FALSE,'DB-Solar'!$K$2=FALSE,'DB-Solar'!$L$2="")</xm:f>
            <x14:dxf>
              <fill>
                <patternFill>
                  <bgColor rgb="FFFFFF99"/>
                </patternFill>
              </fill>
            </x14:dxf>
          </x14:cfRule>
          <xm:sqref>F21:F23 F27:F28</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800-000002000000}">
          <x14:formula1>
            <xm:f>Dropdowns!$B$3:$B$4</xm:f>
          </x14:formula1>
          <xm:sqref>F15 F27:F28</xm:sqref>
        </x14:dataValidation>
        <x14:dataValidation type="list" allowBlank="1" showInputMessage="1" showErrorMessage="1" xr:uid="{00000000-0002-0000-0800-000003000000}">
          <x14:formula1>
            <xm:f>Dropdowns!$R$3:$R$6</xm:f>
          </x14:formula1>
          <xm:sqref>F21</xm:sqref>
        </x14:dataValidation>
        <x14:dataValidation type="list" operator="greaterThan" allowBlank="1" showInputMessage="1" showErrorMessage="1" xr:uid="{00000000-0002-0000-0800-000004000000}">
          <x14:formula1>
            <xm:f>Dropdowns!$Q$3:$Q$5</xm:f>
          </x14:formula1>
          <xm:sqref>F13</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90E59-EEEE-415A-8DA2-49810EA0F5C9}">
  <sheetPr>
    <tabColor rgb="FF92D050"/>
    <pageSetUpPr autoPageBreaks="0"/>
  </sheetPr>
  <dimension ref="B1:P48"/>
  <sheetViews>
    <sheetView showGridLines="0" zoomScaleNormal="100" workbookViewId="0"/>
  </sheetViews>
  <sheetFormatPr baseColWidth="10" defaultColWidth="9.33203125" defaultRowHeight="15" x14ac:dyDescent="0.2"/>
  <cols>
    <col min="1" max="2" width="2.33203125" style="92" customWidth="1"/>
    <col min="3" max="3" width="12.83203125" style="92" customWidth="1"/>
    <col min="4" max="4" width="13.6640625" style="92" customWidth="1"/>
    <col min="5" max="5" width="20.5" style="92" customWidth="1"/>
    <col min="6" max="6" width="9.83203125" style="92" customWidth="1"/>
    <col min="7" max="7" width="13.6640625" style="92" customWidth="1"/>
    <col min="8" max="8" width="13.83203125" style="92" customWidth="1"/>
    <col min="9" max="9" width="8.6640625" style="92" customWidth="1"/>
    <col min="10" max="10" width="13.6640625" style="92" customWidth="1"/>
    <col min="11" max="11" width="2.5" style="92" customWidth="1"/>
    <col min="12" max="12" width="42.5" style="92" customWidth="1"/>
    <col min="13" max="13" width="9" style="92" customWidth="1"/>
    <col min="14" max="14" width="14.1640625" style="92" customWidth="1"/>
    <col min="15" max="15" width="9.33203125" style="92"/>
    <col min="16" max="16" width="13.5" style="92" customWidth="1"/>
    <col min="17" max="17" width="9.6640625" style="92" customWidth="1"/>
    <col min="18" max="16384" width="9.33203125" style="92"/>
  </cols>
  <sheetData>
    <row r="1" spans="2:12" ht="23.25" customHeight="1" x14ac:dyDescent="0.2">
      <c r="B1" s="90" t="s">
        <v>1</v>
      </c>
      <c r="C1" s="91"/>
      <c r="D1" s="91"/>
      <c r="E1" s="91"/>
      <c r="F1" s="91"/>
      <c r="G1" s="91"/>
      <c r="H1" s="91"/>
      <c r="I1" s="91"/>
    </row>
    <row r="2" spans="2:12" ht="15" customHeight="1" x14ac:dyDescent="0.2">
      <c r="C2" s="91"/>
      <c r="D2" s="91"/>
      <c r="E2" s="91"/>
      <c r="F2" s="91"/>
      <c r="G2" s="91"/>
      <c r="H2" s="91"/>
      <c r="I2" s="91"/>
      <c r="J2" s="91"/>
    </row>
    <row r="3" spans="2:12" ht="25" x14ac:dyDescent="0.3">
      <c r="B3" s="107" t="s">
        <v>416</v>
      </c>
      <c r="G3" s="91"/>
    </row>
    <row r="4" spans="2:12" ht="17.5" customHeight="1" x14ac:dyDescent="0.2">
      <c r="B4" s="877" t="s">
        <v>417</v>
      </c>
      <c r="C4" s="877"/>
      <c r="D4" s="877"/>
      <c r="E4" s="877"/>
      <c r="F4" s="877"/>
      <c r="G4" s="877"/>
      <c r="H4" s="877"/>
      <c r="I4" s="877"/>
      <c r="J4" s="877"/>
    </row>
    <row r="5" spans="2:12" ht="21" customHeight="1" x14ac:dyDescent="0.2">
      <c r="G5" s="91"/>
    </row>
    <row r="6" spans="2:12" ht="19.5" customHeight="1" thickBot="1" x14ac:dyDescent="0.3">
      <c r="B6" s="207" t="s">
        <v>418</v>
      </c>
      <c r="C6" s="305"/>
      <c r="D6" s="306"/>
      <c r="E6" s="307"/>
      <c r="F6" s="308"/>
      <c r="G6" s="309"/>
      <c r="H6" s="94"/>
      <c r="I6" s="94"/>
      <c r="J6" s="311"/>
      <c r="L6" s="251"/>
    </row>
    <row r="7" spans="2:12" ht="11.5" customHeight="1" x14ac:dyDescent="0.2">
      <c r="C7" s="289"/>
      <c r="D7" s="290"/>
      <c r="E7" s="291"/>
      <c r="F7" s="292"/>
      <c r="L7" s="251"/>
    </row>
    <row r="8" spans="2:12" ht="253.75" customHeight="1" x14ac:dyDescent="0.2">
      <c r="B8" s="1009" t="s">
        <v>419</v>
      </c>
      <c r="C8" s="1009"/>
      <c r="D8" s="1009"/>
      <c r="E8" s="1009"/>
      <c r="F8" s="1009"/>
      <c r="G8" s="1009"/>
      <c r="H8" s="1009"/>
      <c r="I8" s="1009"/>
      <c r="J8" s="1009"/>
      <c r="K8" s="294"/>
      <c r="L8" s="294"/>
    </row>
    <row r="9" spans="2:12" ht="17.5" customHeight="1" x14ac:dyDescent="0.2">
      <c r="B9" s="90"/>
      <c r="K9" s="294"/>
      <c r="L9" s="294"/>
    </row>
    <row r="10" spans="2:12" ht="27" customHeight="1" x14ac:dyDescent="0.2">
      <c r="K10" s="294"/>
      <c r="L10" s="294"/>
    </row>
    <row r="11" spans="2:12" ht="27" customHeight="1" x14ac:dyDescent="0.2"/>
    <row r="12" spans="2:12" ht="27" customHeight="1" x14ac:dyDescent="0.2"/>
    <row r="13" spans="2:12" ht="27" customHeight="1" x14ac:dyDescent="0.2"/>
    <row r="14" spans="2:12" ht="27" customHeight="1" x14ac:dyDescent="0.2"/>
    <row r="15" spans="2:12" ht="27" customHeight="1" x14ac:dyDescent="0.2">
      <c r="K15" s="294"/>
      <c r="L15" s="294"/>
    </row>
    <row r="16" spans="2:12" ht="27" customHeight="1" x14ac:dyDescent="0.2">
      <c r="K16" s="294"/>
      <c r="L16" s="294"/>
    </row>
    <row r="17" spans="2:12" ht="27" customHeight="1" x14ac:dyDescent="0.2">
      <c r="K17" s="294"/>
      <c r="L17" s="294"/>
    </row>
    <row r="18" spans="2:12" ht="27" customHeight="1" x14ac:dyDescent="0.2">
      <c r="K18" s="294"/>
      <c r="L18" s="294"/>
    </row>
    <row r="19" spans="2:12" ht="29.5" customHeight="1" x14ac:dyDescent="0.2">
      <c r="B19" s="1008" t="s">
        <v>420</v>
      </c>
      <c r="C19" s="1008"/>
      <c r="D19" s="1008"/>
      <c r="E19" s="1008"/>
      <c r="F19" s="1008"/>
      <c r="G19" s="1008"/>
      <c r="H19" s="1008"/>
      <c r="I19" s="1008"/>
      <c r="J19" s="1008"/>
      <c r="K19" s="294"/>
      <c r="L19" s="294"/>
    </row>
    <row r="20" spans="2:12" ht="16.5" customHeight="1" x14ac:dyDescent="0.2">
      <c r="E20" s="119"/>
      <c r="F20" s="431"/>
      <c r="G20" s="295"/>
      <c r="L20" s="294"/>
    </row>
    <row r="21" spans="2:12" ht="19" thickBot="1" x14ac:dyDescent="0.3">
      <c r="B21" s="207" t="s">
        <v>421</v>
      </c>
      <c r="C21" s="94"/>
      <c r="D21" s="94"/>
      <c r="E21" s="94"/>
      <c r="F21" s="94"/>
      <c r="G21" s="94"/>
      <c r="H21" s="94"/>
      <c r="I21" s="94"/>
      <c r="J21" s="94"/>
    </row>
    <row r="22" spans="2:12" ht="27" customHeight="1" thickBot="1" x14ac:dyDescent="0.25">
      <c r="B22" s="90" t="s">
        <v>422</v>
      </c>
      <c r="K22" s="294"/>
      <c r="L22" s="236" t="s">
        <v>258</v>
      </c>
    </row>
    <row r="23" spans="2:12" ht="21" customHeight="1" thickTop="1" x14ac:dyDescent="0.25">
      <c r="B23" s="630"/>
      <c r="L23" s="1011" t="str">
        <f>IF('DB-Electrification'!C2=TRUE, IF(SUM('Input-Utilities'!I42:I43)=0,"Appliances upgrade to electric indicated as applicable while non-electric baseload energy use was not reported in Input-Utilities. ", ""),"")&amp;IF('DB-Electrification'!D2=TRUE, IF(SUM('Input-Utilities'!D42:D43)=0,"Space heating upgrade to electric indicated as applicable while non-electric heating was not reported in Input-Utilities. ", ""),"")&amp;IF('DB-Electrification'!E2=TRUE, IF(SUM('Input-Utilities'!G42:G43)=0,"DHW heating upgrade to electric indicated as applicable while non-electric DHW was not reported in Input-Utilities. ", ""),"")</f>
        <v/>
      </c>
    </row>
    <row r="24" spans="2:12" ht="21" customHeight="1" x14ac:dyDescent="0.25">
      <c r="B24" s="630"/>
      <c r="L24" s="1012"/>
    </row>
    <row r="25" spans="2:12" ht="21" customHeight="1" x14ac:dyDescent="0.25">
      <c r="B25" s="630"/>
      <c r="L25" s="1012"/>
    </row>
    <row r="26" spans="2:12" ht="21" customHeight="1" x14ac:dyDescent="0.25">
      <c r="B26" s="630"/>
      <c r="L26" s="1012"/>
    </row>
    <row r="27" spans="2:12" ht="21" customHeight="1" x14ac:dyDescent="0.25">
      <c r="B27" s="630"/>
      <c r="L27" s="1012"/>
    </row>
    <row r="28" spans="2:12" ht="15" customHeight="1" x14ac:dyDescent="0.25">
      <c r="B28" s="630"/>
      <c r="L28" s="1013"/>
    </row>
    <row r="29" spans="2:12" ht="30" customHeight="1" x14ac:dyDescent="0.25">
      <c r="B29" s="630"/>
      <c r="C29" s="691" t="s">
        <v>423</v>
      </c>
      <c r="D29" s="1010"/>
      <c r="E29" s="1010"/>
      <c r="F29" s="1010"/>
      <c r="G29" s="1010"/>
      <c r="H29" s="1010"/>
    </row>
    <row r="30" spans="2:12" ht="13.25" customHeight="1" x14ac:dyDescent="0.25">
      <c r="B30" s="630"/>
    </row>
    <row r="31" spans="2:12" ht="52.75" customHeight="1" x14ac:dyDescent="0.25">
      <c r="B31" s="630"/>
      <c r="C31" s="690" t="s">
        <v>424</v>
      </c>
      <c r="D31" s="1010" t="s">
        <v>1043</v>
      </c>
      <c r="E31" s="1010"/>
      <c r="F31" s="1010"/>
      <c r="G31" s="1010"/>
      <c r="H31" s="1010"/>
    </row>
    <row r="32" spans="2:12" ht="20.25" customHeight="1" x14ac:dyDescent="0.2">
      <c r="G32" s="248"/>
      <c r="H32" s="248"/>
      <c r="L32" s="109"/>
    </row>
    <row r="33" spans="2:16" ht="19.5" customHeight="1" thickBot="1" x14ac:dyDescent="0.3">
      <c r="B33" s="207" t="s">
        <v>425</v>
      </c>
      <c r="C33" s="305"/>
      <c r="D33" s="306"/>
      <c r="E33" s="307"/>
      <c r="F33" s="308"/>
      <c r="G33" s="309"/>
      <c r="H33" s="94"/>
      <c r="I33" s="94"/>
      <c r="J33" s="311"/>
      <c r="L33" s="251"/>
    </row>
    <row r="34" spans="2:16" ht="40.25" customHeight="1" thickBot="1" x14ac:dyDescent="0.25">
      <c r="B34" s="1014" t="s">
        <v>426</v>
      </c>
      <c r="C34" s="1014"/>
      <c r="D34" s="1014"/>
      <c r="E34" s="1014"/>
      <c r="F34" s="1014"/>
      <c r="G34" s="1014"/>
      <c r="H34" s="1014"/>
      <c r="I34" s="1014"/>
      <c r="J34" s="1014"/>
      <c r="K34" s="225"/>
      <c r="L34" s="236" t="s">
        <v>258</v>
      </c>
    </row>
    <row r="35" spans="2:16" ht="9.75" customHeight="1" thickTop="1" x14ac:dyDescent="0.2">
      <c r="H35" s="119"/>
      <c r="I35" s="427"/>
      <c r="K35" s="225"/>
      <c r="L35" s="1011" t="str">
        <f>IF('DB-Electrification'!O2=TRUE, IF(SUM('Input-Utilities'!N11:N12)&gt;0,"Property was reported as already fully electric while non-electric energy utilities were reported in Input-Utilities. ", ""),"")</f>
        <v/>
      </c>
    </row>
    <row r="36" spans="2:16" ht="17.25" customHeight="1" x14ac:dyDescent="0.2">
      <c r="C36" s="428"/>
      <c r="D36" s="738"/>
      <c r="K36" s="225"/>
      <c r="L36" s="1012"/>
    </row>
    <row r="37" spans="2:16" ht="17.25" customHeight="1" x14ac:dyDescent="0.2">
      <c r="C37" s="428"/>
      <c r="D37" s="738"/>
      <c r="K37" s="225"/>
      <c r="L37" s="1013"/>
    </row>
    <row r="38" spans="2:16" ht="17.25" customHeight="1" x14ac:dyDescent="0.2">
      <c r="C38" s="428"/>
      <c r="D38" s="738"/>
      <c r="K38" s="225"/>
    </row>
    <row r="39" spans="2:16" ht="17.25" customHeight="1" x14ac:dyDescent="0.2">
      <c r="K39" s="225"/>
    </row>
    <row r="40" spans="2:16" ht="47.5" customHeight="1" x14ac:dyDescent="0.2">
      <c r="L40" s="109"/>
    </row>
    <row r="41" spans="2:16" ht="30" customHeight="1" x14ac:dyDescent="0.2">
      <c r="C41" s="691" t="s">
        <v>403</v>
      </c>
      <c r="D41" s="1010"/>
      <c r="E41" s="1010"/>
      <c r="F41" s="1010"/>
      <c r="G41" s="1010"/>
      <c r="H41" s="1010"/>
      <c r="I41" s="673"/>
      <c r="J41" s="673"/>
      <c r="L41" s="109"/>
    </row>
    <row r="42" spans="2:16" ht="13.25" customHeight="1" x14ac:dyDescent="0.25">
      <c r="B42" s="630"/>
      <c r="C42" s="692"/>
    </row>
    <row r="43" spans="2:16" ht="52.75" customHeight="1" x14ac:dyDescent="0.25">
      <c r="B43" s="630"/>
      <c r="C43" s="690" t="s">
        <v>424</v>
      </c>
      <c r="D43" s="1010" t="s">
        <v>1044</v>
      </c>
      <c r="E43" s="1010"/>
      <c r="F43" s="1010"/>
      <c r="G43" s="1010"/>
      <c r="H43" s="1010"/>
    </row>
    <row r="44" spans="2:16" ht="16.75" customHeight="1" x14ac:dyDescent="0.2">
      <c r="F44" s="118"/>
      <c r="G44" s="673"/>
      <c r="H44" s="673"/>
      <c r="I44" s="673"/>
      <c r="J44" s="673"/>
      <c r="L44" s="109"/>
    </row>
    <row r="45" spans="2:16" x14ac:dyDescent="0.2">
      <c r="B45" s="1007"/>
      <c r="C45" s="1007"/>
      <c r="D45" s="1007"/>
      <c r="E45" s="1007"/>
      <c r="F45" s="1007"/>
      <c r="G45" s="1007"/>
      <c r="H45" s="1007"/>
      <c r="I45" s="1007"/>
      <c r="J45" s="1007"/>
      <c r="K45" s="1007"/>
      <c r="L45" s="1007"/>
      <c r="M45" s="1007"/>
      <c r="N45" s="1007"/>
      <c r="O45" s="1007"/>
      <c r="P45" s="1007"/>
    </row>
    <row r="47" spans="2:16" x14ac:dyDescent="0.2">
      <c r="D47" s="248"/>
    </row>
    <row r="48" spans="2:16" x14ac:dyDescent="0.2">
      <c r="C48" s="248"/>
      <c r="D48" s="248"/>
    </row>
  </sheetData>
  <sheetProtection algorithmName="SHA-512" hashValue="TDbrMSEsyjXcgTdYYb57OR6zPhOfodwmMtjxGvTc3FQ5eU4Sis04+epR5uhXE7Qw5SF6sHVGv9wl+rfmYU4j6A==" saltValue="lZBKWe6QijeCoyIURlovbw==" spinCount="100000" sheet="1" objects="1" scenarios="1"/>
  <mergeCells count="11">
    <mergeCell ref="B45:P45"/>
    <mergeCell ref="B19:J19"/>
    <mergeCell ref="B8:J8"/>
    <mergeCell ref="B4:J4"/>
    <mergeCell ref="D29:H29"/>
    <mergeCell ref="D41:H41"/>
    <mergeCell ref="D31:H31"/>
    <mergeCell ref="D43:H43"/>
    <mergeCell ref="L35:L37"/>
    <mergeCell ref="L23:L28"/>
    <mergeCell ref="B34:J34"/>
  </mergeCells>
  <dataValidations disablePrompts="1" count="1">
    <dataValidation type="decimal" operator="greaterThan" allowBlank="1" showInputMessage="1" showErrorMessage="1" sqref="F20" xr:uid="{EAE19498-9EFB-4B8B-B414-728330E8C8B3}">
      <formula1>0</formula1>
    </dataValidation>
  </dataValidations>
  <pageMargins left="0.7" right="0.7" top="0.75" bottom="0.75" header="0.3" footer="0.3"/>
  <pageSetup paperSize="5" scale="84" orientation="landscape" r:id="rId1"/>
  <headerFooter>
    <oddFooter>&amp;L&amp;"Source Sans Pro,Regular"&amp;8© 2023 Fannie Mae. Trademarks of Fannie Mae._x000D_&amp;1#&amp;"Calibri"&amp;10&amp;K000000 Fannie Mae Confidential&amp;C&amp;"Source Sans Pro,Regular"&amp;8Form 4099.H - October 2023&amp;R&amp;"Source Sans Pro,Regular"&amp;8Page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0" r:id="rId4" name="Check Box 10">
              <controlPr defaultSize="0" autoFill="0" autoLine="0" autoPict="0">
                <anchor moveWithCells="1">
                  <from>
                    <xdr:col>2</xdr:col>
                    <xdr:colOff>76200</xdr:colOff>
                    <xdr:row>22</xdr:row>
                    <xdr:rowOff>63500</xdr:rowOff>
                  </from>
                  <to>
                    <xdr:col>7</xdr:col>
                    <xdr:colOff>558800</xdr:colOff>
                    <xdr:row>22</xdr:row>
                    <xdr:rowOff>254000</xdr:rowOff>
                  </to>
                </anchor>
              </controlPr>
            </control>
          </mc:Choice>
        </mc:AlternateContent>
        <mc:AlternateContent xmlns:mc="http://schemas.openxmlformats.org/markup-compatibility/2006">
          <mc:Choice Requires="x14">
            <control shapeId="61451" r:id="rId5" name="Check Box 11">
              <controlPr defaultSize="0" autoFill="0" autoLine="0" autoPict="0">
                <anchor moveWithCells="1">
                  <from>
                    <xdr:col>2</xdr:col>
                    <xdr:colOff>76200</xdr:colOff>
                    <xdr:row>23</xdr:row>
                    <xdr:rowOff>25400</xdr:rowOff>
                  </from>
                  <to>
                    <xdr:col>5</xdr:col>
                    <xdr:colOff>292100</xdr:colOff>
                    <xdr:row>23</xdr:row>
                    <xdr:rowOff>203200</xdr:rowOff>
                  </to>
                </anchor>
              </controlPr>
            </control>
          </mc:Choice>
        </mc:AlternateContent>
        <mc:AlternateContent xmlns:mc="http://schemas.openxmlformats.org/markup-compatibility/2006">
          <mc:Choice Requires="x14">
            <control shapeId="61452" r:id="rId6" name="Check Box 12">
              <controlPr defaultSize="0" autoFill="0" autoLine="0" autoPict="0">
                <anchor moveWithCells="1">
                  <from>
                    <xdr:col>2</xdr:col>
                    <xdr:colOff>76200</xdr:colOff>
                    <xdr:row>23</xdr:row>
                    <xdr:rowOff>254000</xdr:rowOff>
                  </from>
                  <to>
                    <xdr:col>4</xdr:col>
                    <xdr:colOff>1092200</xdr:colOff>
                    <xdr:row>24</xdr:row>
                    <xdr:rowOff>177800</xdr:rowOff>
                  </to>
                </anchor>
              </controlPr>
            </control>
          </mc:Choice>
        </mc:AlternateContent>
        <mc:AlternateContent xmlns:mc="http://schemas.openxmlformats.org/markup-compatibility/2006">
          <mc:Choice Requires="x14">
            <control shapeId="61453" r:id="rId7" name="Check Box 13">
              <controlPr defaultSize="0" autoFill="0" autoLine="0" autoPict="0">
                <anchor moveWithCells="1">
                  <from>
                    <xdr:col>2</xdr:col>
                    <xdr:colOff>76200</xdr:colOff>
                    <xdr:row>25</xdr:row>
                    <xdr:rowOff>190500</xdr:rowOff>
                  </from>
                  <to>
                    <xdr:col>8</xdr:col>
                    <xdr:colOff>546100</xdr:colOff>
                    <xdr:row>26</xdr:row>
                    <xdr:rowOff>114300</xdr:rowOff>
                  </to>
                </anchor>
              </controlPr>
            </control>
          </mc:Choice>
        </mc:AlternateContent>
        <mc:AlternateContent xmlns:mc="http://schemas.openxmlformats.org/markup-compatibility/2006">
          <mc:Choice Requires="x14">
            <control shapeId="61454" r:id="rId8" name="Check Box 14">
              <controlPr defaultSize="0" autoFill="0" autoLine="0" autoPict="0">
                <anchor moveWithCells="1">
                  <from>
                    <xdr:col>2</xdr:col>
                    <xdr:colOff>76200</xdr:colOff>
                    <xdr:row>24</xdr:row>
                    <xdr:rowOff>215900</xdr:rowOff>
                  </from>
                  <to>
                    <xdr:col>4</xdr:col>
                    <xdr:colOff>520700</xdr:colOff>
                    <xdr:row>25</xdr:row>
                    <xdr:rowOff>139700</xdr:rowOff>
                  </to>
                </anchor>
              </controlPr>
            </control>
          </mc:Choice>
        </mc:AlternateContent>
        <mc:AlternateContent xmlns:mc="http://schemas.openxmlformats.org/markup-compatibility/2006">
          <mc:Choice Requires="x14">
            <control shapeId="61455" r:id="rId9" name="Check Box 15">
              <controlPr defaultSize="0" autoFill="0" autoLine="0" autoPict="0">
                <anchor moveWithCells="1">
                  <from>
                    <xdr:col>2</xdr:col>
                    <xdr:colOff>76200</xdr:colOff>
                    <xdr:row>34</xdr:row>
                    <xdr:rowOff>50800</xdr:rowOff>
                  </from>
                  <to>
                    <xdr:col>5</xdr:col>
                    <xdr:colOff>444500</xdr:colOff>
                    <xdr:row>35</xdr:row>
                    <xdr:rowOff>114300</xdr:rowOff>
                  </to>
                </anchor>
              </controlPr>
            </control>
          </mc:Choice>
        </mc:AlternateContent>
        <mc:AlternateContent xmlns:mc="http://schemas.openxmlformats.org/markup-compatibility/2006">
          <mc:Choice Requires="x14">
            <control shapeId="61456" r:id="rId10" name="Check Box 16">
              <controlPr defaultSize="0" autoFill="0" autoLine="0" autoPict="0">
                <anchor moveWithCells="1">
                  <from>
                    <xdr:col>2</xdr:col>
                    <xdr:colOff>76200</xdr:colOff>
                    <xdr:row>35</xdr:row>
                    <xdr:rowOff>177800</xdr:rowOff>
                  </from>
                  <to>
                    <xdr:col>4</xdr:col>
                    <xdr:colOff>1066800</xdr:colOff>
                    <xdr:row>36</xdr:row>
                    <xdr:rowOff>139700</xdr:rowOff>
                  </to>
                </anchor>
              </controlPr>
            </control>
          </mc:Choice>
        </mc:AlternateContent>
        <mc:AlternateContent xmlns:mc="http://schemas.openxmlformats.org/markup-compatibility/2006">
          <mc:Choice Requires="x14">
            <control shapeId="61457" r:id="rId11" name="Check Box 17">
              <controlPr defaultSize="0" autoFill="0" autoLine="0" autoPict="0">
                <anchor moveWithCells="1">
                  <from>
                    <xdr:col>2</xdr:col>
                    <xdr:colOff>76200</xdr:colOff>
                    <xdr:row>36</xdr:row>
                    <xdr:rowOff>203200</xdr:rowOff>
                  </from>
                  <to>
                    <xdr:col>4</xdr:col>
                    <xdr:colOff>1333500</xdr:colOff>
                    <xdr:row>37</xdr:row>
                    <xdr:rowOff>177800</xdr:rowOff>
                  </to>
                </anchor>
              </controlPr>
            </control>
          </mc:Choice>
        </mc:AlternateContent>
        <mc:AlternateContent xmlns:mc="http://schemas.openxmlformats.org/markup-compatibility/2006">
          <mc:Choice Requires="x14">
            <control shapeId="61458" r:id="rId12" name="Check Box 18">
              <controlPr defaultSize="0" autoFill="0" autoLine="0" autoPict="0">
                <anchor moveWithCells="1">
                  <from>
                    <xdr:col>2</xdr:col>
                    <xdr:colOff>76200</xdr:colOff>
                    <xdr:row>38</xdr:row>
                    <xdr:rowOff>25400</xdr:rowOff>
                  </from>
                  <to>
                    <xdr:col>7</xdr:col>
                    <xdr:colOff>0</xdr:colOff>
                    <xdr:row>38</xdr:row>
                    <xdr:rowOff>203200</xdr:rowOff>
                  </to>
                </anchor>
              </controlPr>
            </control>
          </mc:Choice>
        </mc:AlternateContent>
        <mc:AlternateContent xmlns:mc="http://schemas.openxmlformats.org/markup-compatibility/2006">
          <mc:Choice Requires="x14">
            <control shapeId="61459" r:id="rId13" name="Check Box 19">
              <controlPr defaultSize="0" autoFill="0" autoLine="0" autoPict="0">
                <anchor moveWithCells="1">
                  <from>
                    <xdr:col>2</xdr:col>
                    <xdr:colOff>76200</xdr:colOff>
                    <xdr:row>39</xdr:row>
                    <xdr:rowOff>279400</xdr:rowOff>
                  </from>
                  <to>
                    <xdr:col>5</xdr:col>
                    <xdr:colOff>190500</xdr:colOff>
                    <xdr:row>39</xdr:row>
                    <xdr:rowOff>469900</xdr:rowOff>
                  </to>
                </anchor>
              </controlPr>
            </control>
          </mc:Choice>
        </mc:AlternateContent>
        <mc:AlternateContent xmlns:mc="http://schemas.openxmlformats.org/markup-compatibility/2006">
          <mc:Choice Requires="x14">
            <control shapeId="61461" r:id="rId14" name="Check Box 21">
              <controlPr defaultSize="0" autoFill="0" autoLine="0" autoPict="0">
                <anchor moveWithCells="1">
                  <from>
                    <xdr:col>2</xdr:col>
                    <xdr:colOff>76200</xdr:colOff>
                    <xdr:row>26</xdr:row>
                    <xdr:rowOff>165100</xdr:rowOff>
                  </from>
                  <to>
                    <xdr:col>8</xdr:col>
                    <xdr:colOff>101600</xdr:colOff>
                    <xdr:row>27</xdr:row>
                    <xdr:rowOff>76200</xdr:rowOff>
                  </to>
                </anchor>
              </controlPr>
            </control>
          </mc:Choice>
        </mc:AlternateContent>
        <mc:AlternateContent xmlns:mc="http://schemas.openxmlformats.org/markup-compatibility/2006">
          <mc:Choice Requires="x14">
            <control shapeId="61462" r:id="rId15" name="Check Box 22">
              <controlPr defaultSize="0" autoFill="0" autoLine="0" autoPict="0">
                <anchor moveWithCells="1">
                  <from>
                    <xdr:col>2</xdr:col>
                    <xdr:colOff>76200</xdr:colOff>
                    <xdr:row>39</xdr:row>
                    <xdr:rowOff>50800</xdr:rowOff>
                  </from>
                  <to>
                    <xdr:col>7</xdr:col>
                    <xdr:colOff>495300</xdr:colOff>
                    <xdr:row>39</xdr:row>
                    <xdr:rowOff>228600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 id="{4F0A1865-5157-4A17-AAF3-A46ECEF5D0D1}">
            <xm:f>AND(COUNTIF('DB-Electrification'!$B$2:$G$2,TRUE)&gt;0,$D$31="")</xm:f>
            <x14:dxf>
              <fill>
                <patternFill>
                  <bgColor rgb="FFFFFF99"/>
                </patternFill>
              </fill>
            </x14:dxf>
          </x14:cfRule>
          <xm:sqref>D31:H31</xm:sqref>
        </x14:conditionalFormatting>
        <x14:conditionalFormatting xmlns:xm="http://schemas.microsoft.com/office/excel/2006/main">
          <x14:cfRule type="expression" priority="1" id="{605F11B7-16A9-4D45-8B96-1568EB885269}">
            <xm:f>AND(COUNTIF('DB-Electrification'!$J$2:$O$2,TRUE)&gt;0,$D$43="")</xm:f>
            <x14:dxf>
              <fill>
                <patternFill>
                  <bgColor rgb="FFFFFF99"/>
                </patternFill>
              </fill>
            </x14:dxf>
          </x14:cfRule>
          <xm:sqref>D43:H43</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A1:AB8"/>
  <sheetViews>
    <sheetView topLeftCell="E2" zoomScaleNormal="100" workbookViewId="0">
      <selection activeCell="C4" sqref="C4:K4"/>
    </sheetView>
  </sheetViews>
  <sheetFormatPr baseColWidth="10" defaultColWidth="9.33203125" defaultRowHeight="15" x14ac:dyDescent="0.2"/>
  <cols>
    <col min="1" max="2" width="9.33203125" style="45"/>
    <col min="3" max="4" width="15" style="45" customWidth="1"/>
    <col min="5" max="5" width="22.5" style="45" customWidth="1"/>
    <col min="6" max="6" width="14.33203125" style="45" customWidth="1"/>
    <col min="7" max="7" width="26" style="45" customWidth="1"/>
    <col min="8" max="8" width="14.33203125" style="45" customWidth="1"/>
    <col min="9" max="14" width="9.33203125" style="45"/>
    <col min="15" max="15" width="10.6640625" style="45" customWidth="1"/>
    <col min="16" max="16384" width="9.33203125" style="45"/>
  </cols>
  <sheetData>
    <row r="1" spans="1:28" s="44" customFormat="1" x14ac:dyDescent="0.2">
      <c r="A1" s="596" t="s">
        <v>427</v>
      </c>
      <c r="B1" s="596" t="s">
        <v>428</v>
      </c>
      <c r="C1" s="66" t="s">
        <v>429</v>
      </c>
      <c r="D1" s="596" t="s">
        <v>430</v>
      </c>
      <c r="E1" s="596" t="s">
        <v>431</v>
      </c>
      <c r="F1" s="66" t="s">
        <v>432</v>
      </c>
      <c r="G1" s="596" t="s">
        <v>433</v>
      </c>
      <c r="H1" s="66" t="s">
        <v>434</v>
      </c>
      <c r="I1" s="66" t="s">
        <v>435</v>
      </c>
      <c r="J1" s="66" t="s">
        <v>436</v>
      </c>
      <c r="K1" s="66" t="s">
        <v>437</v>
      </c>
      <c r="L1" s="66" t="s">
        <v>438</v>
      </c>
      <c r="M1" s="66" t="s">
        <v>439</v>
      </c>
      <c r="N1" s="66" t="s">
        <v>440</v>
      </c>
      <c r="O1" s="66" t="s">
        <v>441</v>
      </c>
      <c r="P1" s="66" t="s">
        <v>442</v>
      </c>
      <c r="Q1" s="66" t="s">
        <v>443</v>
      </c>
      <c r="R1" s="66" t="s">
        <v>444</v>
      </c>
      <c r="S1" s="66" t="s">
        <v>445</v>
      </c>
      <c r="T1" s="66" t="s">
        <v>446</v>
      </c>
      <c r="U1" s="66" t="s">
        <v>447</v>
      </c>
      <c r="V1" s="66" t="s">
        <v>448</v>
      </c>
      <c r="W1" s="66" t="s">
        <v>449</v>
      </c>
      <c r="X1" s="66" t="s">
        <v>450</v>
      </c>
      <c r="Y1" s="596" t="s">
        <v>451</v>
      </c>
      <c r="Z1" s="596" t="s">
        <v>452</v>
      </c>
      <c r="AA1" s="66" t="s">
        <v>453</v>
      </c>
      <c r="AB1" s="66" t="s">
        <v>454</v>
      </c>
    </row>
    <row r="2" spans="1:28" x14ac:dyDescent="0.2">
      <c r="A2" s="769"/>
      <c r="B2" s="769"/>
      <c r="C2" s="769" t="str">
        <f>IF('Input-Property'!D8="", "", 'Input-Property'!D8)</f>
        <v>Javelina Heights</v>
      </c>
      <c r="D2" s="769"/>
      <c r="E2" s="770"/>
      <c r="F2" s="769" t="str">
        <f>IF('Input-Property'!D10="", "",IF('Input-Property'!D10="Other",'Input-Property'!F10,'Input-Property'!D10))</f>
        <v>Generic Energy Consulting</v>
      </c>
      <c r="G2" s="769"/>
      <c r="H2" s="769" t="str">
        <f>IF('Lender Validation'!E11="", "", 'Lender Validation'!E11)</f>
        <v>Generic Lender</v>
      </c>
      <c r="I2" s="769" t="str">
        <f>IF('Lender Validation'!H11="", "", 'Lender Validation'!H11)</f>
        <v/>
      </c>
      <c r="J2" s="769">
        <f>IF('Input-Property'!D53="","",'Input-Property'!D53)</f>
        <v>15</v>
      </c>
      <c r="K2" s="770">
        <f>IF('Input-Property'!D12="","",'Input-Property'!D12)</f>
        <v>45204</v>
      </c>
      <c r="L2" s="770">
        <f>IF('Input-Property'!D13="","",'Input-Property'!D13)</f>
        <v>45231</v>
      </c>
      <c r="M2" s="770">
        <f>IF('Input-Property'!D15="", "", 'Input-Property'!D15)</f>
        <v>45245</v>
      </c>
      <c r="N2" s="770">
        <f>IF('Input-Property'!D15="", "", MAX('Input-Property'!D15:D19))</f>
        <v>45245</v>
      </c>
      <c r="O2" s="770">
        <f>IF('Lender Validation'!H18="","",'Lender Validation'!H18)</f>
        <v>45260</v>
      </c>
      <c r="P2" s="769">
        <f>IF('Lender Validation'!E16="","",'Lender Validation'!E16)</f>
        <v>1</v>
      </c>
      <c r="Q2" s="769" t="str">
        <f>IF('Lender Validation'!E18="","",'Lender Validation'!E18)</f>
        <v>Byron Clark</v>
      </c>
      <c r="R2" s="769">
        <f>IF('Lender Validation'!E33+'Lender Validation'!F33="","",ROUND('Lender Validation'!E33+'Lender Validation'!F33,0))</f>
        <v>140479</v>
      </c>
      <c r="S2" s="769">
        <f>IF('Lender Validation'!E36+'Lender Validation'!F36="","",ROUND('Lender Validation'!E36+'Lender Validation'!F36,0))</f>
        <v>0</v>
      </c>
      <c r="T2" s="769">
        <f>IF('Lender Validation'!E38="","",ROUND('Lender Validation'!E38,0))</f>
        <v>140479</v>
      </c>
      <c r="U2" s="769">
        <f>IF('Lender Validation'!J38="","",ROUND('Lender Validation'!J38,0))</f>
        <v>140000</v>
      </c>
      <c r="V2" s="710" t="s">
        <v>1018</v>
      </c>
      <c r="W2" s="66" t="b">
        <f>AND('Lender Validation'!$E$22&gt;=0.1495, 'Lender Validation'!$E$24&gt;=0.2995)</f>
        <v>1</v>
      </c>
      <c r="X2" s="66" t="b">
        <f ca="1">IF(IF(H2="",1,0)+COUNTIF(O2:U2,"")+COUNTIF(Assumptions!C45:C74,FALSE)+COUNTIF(Assumptions!F45:F85,FALSE)+IF(U2&gt;T2,1,0)=0,TRUE)</f>
        <v>1</v>
      </c>
      <c r="Y2" s="771">
        <f>'Lender Validation'!E37</f>
        <v>140478.63540123805</v>
      </c>
      <c r="Z2" s="771">
        <f>'Lender Validation'!F37</f>
        <v>0</v>
      </c>
      <c r="AA2" s="769">
        <f>'Lender Validation'!G26</f>
        <v>4398908.75</v>
      </c>
      <c r="AB2" s="769" t="b">
        <f>IF(COUNTIFS('Lender Validation'!B44:B73,"Yes",'DB-EWEM'!D2:D31,"Renewable energy systems")&gt;0, TRUE, FALSE)</f>
        <v>1</v>
      </c>
    </row>
    <row r="3" spans="1:28" x14ac:dyDescent="0.2">
      <c r="A3" s="766"/>
      <c r="B3" s="766"/>
      <c r="C3" s="766"/>
      <c r="D3" s="766"/>
      <c r="E3" s="766"/>
      <c r="F3" s="766"/>
      <c r="G3" s="766"/>
      <c r="H3" s="766"/>
      <c r="I3" s="766"/>
      <c r="J3" s="766"/>
      <c r="K3" s="766" t="str">
        <f>IF('Lender Validation'!E17="","",'Lender Validation'!E17)</f>
        <v/>
      </c>
      <c r="L3" s="766"/>
      <c r="M3" s="766"/>
      <c r="N3" s="766"/>
      <c r="O3" s="766"/>
      <c r="P3" s="766"/>
      <c r="Q3" s="766"/>
      <c r="R3" s="766"/>
      <c r="S3" s="766"/>
      <c r="T3" s="766"/>
      <c r="U3" s="766"/>
      <c r="V3" s="766"/>
      <c r="W3" s="766"/>
      <c r="X3" s="766"/>
      <c r="Y3" s="766"/>
      <c r="Z3" s="766"/>
      <c r="AA3" s="766"/>
      <c r="AB3" s="766"/>
    </row>
    <row r="5" spans="1:28" x14ac:dyDescent="0.2">
      <c r="A5" s="766"/>
      <c r="B5" s="766"/>
      <c r="C5" s="766"/>
      <c r="D5" s="766"/>
      <c r="E5" s="766"/>
      <c r="F5" s="766"/>
      <c r="G5" s="766"/>
      <c r="H5" s="766"/>
      <c r="I5" s="766"/>
      <c r="J5" s="766"/>
      <c r="K5" s="766"/>
      <c r="L5" s="766"/>
      <c r="M5" s="766"/>
      <c r="N5" s="766"/>
      <c r="O5" s="766"/>
      <c r="P5" s="766"/>
      <c r="Q5" s="766"/>
      <c r="R5" s="766"/>
      <c r="S5" s="766"/>
      <c r="T5" s="766"/>
      <c r="U5" s="772"/>
      <c r="V5" s="766"/>
      <c r="W5" s="766"/>
      <c r="X5" s="766"/>
      <c r="Y5" s="766"/>
      <c r="Z5" s="766"/>
      <c r="AA5" s="766"/>
      <c r="AB5" s="766"/>
    </row>
    <row r="6" spans="1:28" x14ac:dyDescent="0.2">
      <c r="A6" s="766"/>
      <c r="B6" s="766"/>
      <c r="C6" s="766"/>
      <c r="D6" s="766"/>
      <c r="E6" s="766"/>
      <c r="F6" s="766"/>
      <c r="G6" s="766"/>
      <c r="H6" s="766"/>
      <c r="I6" s="766"/>
      <c r="J6" s="766"/>
      <c r="K6" s="766"/>
      <c r="L6" s="766"/>
      <c r="M6" s="766"/>
      <c r="N6" s="766"/>
      <c r="O6" s="766"/>
      <c r="P6" s="766"/>
      <c r="Q6" s="766"/>
      <c r="R6" s="766"/>
      <c r="S6" s="766"/>
      <c r="T6" s="766"/>
      <c r="U6" s="773"/>
      <c r="V6" s="766"/>
      <c r="W6" s="766"/>
      <c r="X6" s="766"/>
      <c r="Y6" s="766"/>
      <c r="Z6" s="766"/>
      <c r="AA6" s="766"/>
      <c r="AB6" s="766"/>
    </row>
    <row r="7" spans="1:28" x14ac:dyDescent="0.2">
      <c r="A7" s="766"/>
      <c r="B7" s="766"/>
      <c r="C7" s="766"/>
      <c r="D7" s="766"/>
      <c r="E7" s="766"/>
      <c r="F7" s="766"/>
      <c r="G7" s="766"/>
      <c r="H7" s="766"/>
      <c r="I7" s="766"/>
      <c r="J7" s="766"/>
      <c r="K7" s="766" t="str">
        <f>IF('Lender Validation'!E20="","",'Lender Validation'!E20)</f>
        <v/>
      </c>
      <c r="L7" s="766"/>
      <c r="M7" s="766"/>
      <c r="N7" s="766"/>
      <c r="O7" s="766"/>
      <c r="P7" s="766"/>
      <c r="Q7" s="766"/>
      <c r="R7" s="766"/>
      <c r="S7" s="766"/>
      <c r="T7" s="766"/>
      <c r="U7" s="766"/>
      <c r="V7" s="766"/>
      <c r="W7" s="766"/>
      <c r="X7" s="766"/>
      <c r="Y7" s="766"/>
      <c r="Z7" s="766"/>
      <c r="AA7" s="766"/>
      <c r="AB7" s="766"/>
    </row>
    <row r="8" spans="1:28" x14ac:dyDescent="0.2">
      <c r="A8" s="766"/>
      <c r="B8" s="766"/>
      <c r="C8" s="766"/>
      <c r="D8" s="766"/>
      <c r="E8" s="766"/>
      <c r="F8" s="766"/>
      <c r="G8" s="766"/>
      <c r="H8" s="766"/>
      <c r="I8" s="766"/>
      <c r="J8" s="766"/>
      <c r="K8" s="766" t="str">
        <f>IF('Lender Validation'!E21="","",'Lender Validation'!E21)</f>
        <v/>
      </c>
      <c r="L8" s="766"/>
      <c r="M8" s="766"/>
      <c r="N8" s="766"/>
      <c r="O8" s="766"/>
      <c r="P8" s="766"/>
      <c r="Q8" s="766"/>
      <c r="R8" s="766"/>
      <c r="S8" s="766"/>
      <c r="T8" s="766"/>
      <c r="U8" s="766"/>
      <c r="V8" s="766"/>
      <c r="W8" s="766"/>
      <c r="X8" s="766"/>
      <c r="Y8" s="766"/>
      <c r="Z8" s="766"/>
      <c r="AA8" s="766"/>
      <c r="AB8" s="766"/>
    </row>
  </sheetData>
  <pageMargins left="0.7" right="0.7" top="0.75" bottom="0.75" header="0.3" footer="0.3"/>
  <pageSetup scale="79" orientation="portrait" r:id="rId1"/>
  <headerFooter>
    <oddFooter>&amp;L
&amp;1#&amp;"Calibri,Regular"&amp;10&amp;K000000 Fannie Mae Confidential&amp;CConfidential - Internal Distribution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000"/>
  </sheetPr>
  <dimension ref="A1:U6"/>
  <sheetViews>
    <sheetView zoomScaleNormal="100" workbookViewId="0">
      <selection activeCell="C4" sqref="C4:K4"/>
    </sheetView>
  </sheetViews>
  <sheetFormatPr baseColWidth="10" defaultColWidth="8.83203125" defaultRowHeight="15" x14ac:dyDescent="0.2"/>
  <cols>
    <col min="2" max="2" width="16.5" customWidth="1"/>
    <col min="16" max="16" width="12" customWidth="1"/>
  </cols>
  <sheetData>
    <row r="1" spans="1:21" s="3" customFormat="1" x14ac:dyDescent="0.2">
      <c r="A1" s="66" t="s">
        <v>427</v>
      </c>
      <c r="B1" s="66" t="s">
        <v>237</v>
      </c>
      <c r="C1" s="66" t="s">
        <v>238</v>
      </c>
      <c r="D1" s="66" t="s">
        <v>239</v>
      </c>
      <c r="E1" s="66" t="s">
        <v>455</v>
      </c>
      <c r="F1" s="66" t="s">
        <v>456</v>
      </c>
      <c r="G1" s="66" t="s">
        <v>457</v>
      </c>
      <c r="H1" s="66" t="s">
        <v>458</v>
      </c>
      <c r="I1" s="66" t="s">
        <v>459</v>
      </c>
      <c r="J1" s="66" t="s">
        <v>460</v>
      </c>
      <c r="K1" s="66" t="s">
        <v>461</v>
      </c>
      <c r="L1" s="66" t="s">
        <v>462</v>
      </c>
      <c r="M1" s="66" t="s">
        <v>463</v>
      </c>
      <c r="N1" s="66" t="s">
        <v>464</v>
      </c>
      <c r="O1" s="66" t="s">
        <v>465</v>
      </c>
      <c r="P1" s="66" t="s">
        <v>466</v>
      </c>
      <c r="Q1" s="66" t="s">
        <v>467</v>
      </c>
      <c r="R1" s="66" t="s">
        <v>468</v>
      </c>
      <c r="S1" s="66" t="s">
        <v>469</v>
      </c>
      <c r="T1" s="66" t="s">
        <v>470</v>
      </c>
      <c r="U1" s="66" t="s">
        <v>471</v>
      </c>
    </row>
    <row r="2" spans="1:21" x14ac:dyDescent="0.2">
      <c r="A2" s="2"/>
      <c r="B2" s="2" t="str">
        <f>IF('Input-Property'!D23="", "", 'Input-Property'!D23)</f>
        <v>1258 Blake Ave</v>
      </c>
      <c r="C2" s="2" t="str">
        <f>IF('Input-Property'!D24="", "", 'Input-Property'!D24)</f>
        <v>Payson</v>
      </c>
      <c r="D2" s="2" t="str">
        <f>IF('Input-Property'!D25="", "", 'Input-Property'!D25)</f>
        <v>AZ</v>
      </c>
      <c r="E2" s="2" t="str">
        <f>IF('Input-Property'!D26="", "", 'Input-Property'!D26)</f>
        <v>85541</v>
      </c>
      <c r="F2" s="2">
        <f>IF('Input-Property'!D28="", "", 'Input-Property'!D28)</f>
        <v>1995</v>
      </c>
      <c r="G2" s="2" t="str">
        <f>IF('Input-Property'!D29="", "", 'Input-Property'!D29)</f>
        <v/>
      </c>
      <c r="H2" s="2">
        <f>IF('Input-Property'!D32="", "", 'Input-Property'!D32)</f>
        <v>130633</v>
      </c>
      <c r="I2" s="2">
        <f>IF('Input-Property'!D33="", "", 'Input-Property'!D33)</f>
        <v>118206</v>
      </c>
      <c r="J2" s="2">
        <f>IF('Input-Property'!D31="", "", 'Input-Property'!D31)</f>
        <v>11</v>
      </c>
      <c r="K2" s="2">
        <f>IF('Input-Property'!D42="", "", 'Input-Property'!D42)</f>
        <v>129</v>
      </c>
      <c r="L2" s="2">
        <f>IF('Input-Property'!D43="", "", 'Input-Property'!D43)</f>
        <v>335</v>
      </c>
      <c r="M2" s="70">
        <f>IF('Input-Property'!D45="", "", 'Input-Property'!D45)</f>
        <v>0.97</v>
      </c>
      <c r="N2" s="2">
        <f>IF('Input-Property'!E48="",'Input-Property'!D48,'Input-Property'!E48)</f>
        <v>438</v>
      </c>
      <c r="O2" s="2">
        <f>IF('Input-Utilities'!C51="","",'Input-Utilities'!C51)</f>
        <v>9876543</v>
      </c>
      <c r="P2" s="77">
        <f>IF('Input-Utilities'!H51="","",'Input-Utilities'!H51)</f>
        <v>45230</v>
      </c>
      <c r="Q2" s="2">
        <f>IF('Input-Utilities'!D51="","",'Input-Utilities'!D51)</f>
        <v>36</v>
      </c>
      <c r="R2" s="2">
        <f>IF('Input-Utilities'!E51="","",'Input-Utilities'!E51)</f>
        <v>151.19999999999999</v>
      </c>
      <c r="S2" s="2">
        <f>IF('Input-Utilities'!F51="","",'Input-Utilities'!F51)</f>
        <v>51</v>
      </c>
      <c r="T2" s="2">
        <f>IF('Input-Utilities'!G51="","",'Input-Utilities'!G51)</f>
        <v>58.5</v>
      </c>
      <c r="U2" s="2">
        <f>IF('Input-Property'!D43="", "", 'Input-Property'!D43-'Input-Property'!D37)</f>
        <v>323</v>
      </c>
    </row>
    <row r="6" spans="1:21" x14ac:dyDescent="0.2">
      <c r="N6" s="28"/>
    </row>
  </sheetData>
  <pageMargins left="0.7" right="0.7" top="0.75" bottom="0.75" header="0.3" footer="0.3"/>
  <pageSetup orientation="portrait" r:id="rId1"/>
  <headerFooter>
    <oddFooter>&amp;L
&amp;1#&amp;"Calibri,Regular"&amp;10&amp;K000000 Fannie Mae Confidential&amp;CConfidential - Internal Distribution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C000"/>
  </sheetPr>
  <dimension ref="A1:AG5"/>
  <sheetViews>
    <sheetView topLeftCell="G13" zoomScaleNormal="100" workbookViewId="0">
      <selection activeCell="C4" sqref="C4:K4"/>
    </sheetView>
  </sheetViews>
  <sheetFormatPr baseColWidth="10" defaultColWidth="8.83203125" defaultRowHeight="15" x14ac:dyDescent="0.2"/>
  <cols>
    <col min="1" max="1" width="10.33203125" customWidth="1"/>
    <col min="2" max="2" width="15.6640625" customWidth="1"/>
    <col min="3" max="3" width="17.6640625" customWidth="1"/>
    <col min="4" max="5" width="15.5" customWidth="1"/>
    <col min="6" max="6" width="20.33203125" customWidth="1"/>
    <col min="7" max="7" width="22.5" customWidth="1"/>
    <col min="8" max="9" width="19.5" customWidth="1"/>
    <col min="10" max="11" width="19.6640625" customWidth="1"/>
    <col min="12" max="14" width="19.33203125" customWidth="1"/>
    <col min="15" max="15" width="19.6640625" customWidth="1"/>
    <col min="16" max="17" width="20.5" customWidth="1"/>
    <col min="18" max="18" width="15.5" customWidth="1"/>
    <col min="19" max="19" width="12.33203125" customWidth="1"/>
    <col min="20" max="20" width="12" customWidth="1"/>
    <col min="21" max="22" width="13.5" customWidth="1"/>
    <col min="23" max="23" width="11.5" customWidth="1"/>
    <col min="24" max="24" width="11.33203125" customWidth="1"/>
    <col min="25" max="25" width="13.5" customWidth="1"/>
    <col min="26" max="26" width="14.6640625" customWidth="1"/>
    <col min="33" max="33" width="16.6640625" customWidth="1"/>
  </cols>
  <sheetData>
    <row r="1" spans="1:33" s="3" customFormat="1" x14ac:dyDescent="0.2">
      <c r="A1" s="66" t="s">
        <v>427</v>
      </c>
      <c r="B1" s="66" t="s">
        <v>472</v>
      </c>
      <c r="C1" s="66" t="s">
        <v>473</v>
      </c>
      <c r="D1" s="66" t="s">
        <v>474</v>
      </c>
      <c r="E1" s="66" t="s">
        <v>475</v>
      </c>
      <c r="F1" s="66" t="s">
        <v>476</v>
      </c>
      <c r="G1" s="66" t="s">
        <v>477</v>
      </c>
      <c r="H1" s="66" t="s">
        <v>478</v>
      </c>
      <c r="I1" s="66" t="s">
        <v>479</v>
      </c>
      <c r="J1" s="66" t="s">
        <v>480</v>
      </c>
      <c r="K1" s="66" t="s">
        <v>481</v>
      </c>
      <c r="L1" s="66" t="s">
        <v>482</v>
      </c>
      <c r="M1" s="66" t="s">
        <v>483</v>
      </c>
      <c r="N1" s="66" t="s">
        <v>484</v>
      </c>
      <c r="O1" s="66" t="s">
        <v>485</v>
      </c>
      <c r="P1" s="66" t="s">
        <v>486</v>
      </c>
      <c r="Q1" s="66" t="s">
        <v>487</v>
      </c>
      <c r="R1" s="66" t="s">
        <v>488</v>
      </c>
      <c r="S1" s="66" t="s">
        <v>489</v>
      </c>
      <c r="T1" s="66" t="s">
        <v>490</v>
      </c>
      <c r="U1" s="66" t="s">
        <v>491</v>
      </c>
      <c r="V1" s="66" t="s">
        <v>492</v>
      </c>
      <c r="W1" s="66" t="s">
        <v>493</v>
      </c>
      <c r="X1" s="66" t="s">
        <v>494</v>
      </c>
      <c r="Y1" s="66" t="s">
        <v>495</v>
      </c>
      <c r="Z1" s="67" t="s">
        <v>496</v>
      </c>
      <c r="AA1" s="66" t="s">
        <v>497</v>
      </c>
      <c r="AB1" s="66" t="s">
        <v>498</v>
      </c>
      <c r="AC1" s="66" t="s">
        <v>499</v>
      </c>
      <c r="AD1" s="66" t="s">
        <v>500</v>
      </c>
      <c r="AE1" s="66" t="s">
        <v>501</v>
      </c>
      <c r="AF1" s="66" t="s">
        <v>502</v>
      </c>
      <c r="AG1" s="67" t="s">
        <v>503</v>
      </c>
    </row>
    <row r="2" spans="1:33" x14ac:dyDescent="0.2">
      <c r="A2" s="2"/>
      <c r="B2" s="2" t="str">
        <f>IF('Input-Utilities'!C10="","",'Input-Utilities'!C10)</f>
        <v>Electricity</v>
      </c>
      <c r="C2" s="2">
        <f>IF('Input-Utilities'!D10="","",ROUND('Input-Utilities'!D10,0))</f>
        <v>193611</v>
      </c>
      <c r="D2" s="2">
        <f>IF('Input-Utilities'!G10="","",ROUND('Input-Utilities'!G10,0))</f>
        <v>0</v>
      </c>
      <c r="E2" s="2">
        <f>SUM(C2:D2)</f>
        <v>193611</v>
      </c>
      <c r="F2" s="2">
        <f>IF('Input-Utilities'!E10="","",IFERROR('Input-Utilities'!E10*INDEX(Assumptions!$D$6:$D$17,MATCH('Input-Utilities'!$F10,Assumptions!$C$6:$C$17,0))/1000,""))</f>
        <v>6296146.54</v>
      </c>
      <c r="G2" s="2">
        <f>IF('Input-Utilities'!E10="","",IFERROR('Input-Utilities'!E10*INDEX(Assumptions!$F$6:$F$17,MATCH('Input-Utilities'!$F10,Assumptions!$C$6:$C$17,0))/1000,""))</f>
        <v>17629210.311999995</v>
      </c>
      <c r="H2" s="32"/>
      <c r="I2" s="2">
        <f>IF('Input-Utilities'!H10="","",IFERROR('Input-Utilities'!H10*INDEX(Assumptions!$D$6:$D$17,MATCH('Input-Utilities'!$F10,Assumptions!$C$6:$C$17,0))/1000,""))</f>
        <v>0</v>
      </c>
      <c r="J2" s="2">
        <f>IF('Input-Utilities'!H10="","",IFERROR('Input-Utilities'!H10*INDEX(Assumptions!$F$6:$F$17,MATCH('Input-Utilities'!$F10,Assumptions!$C$6:$C$17,0))/1000,""))</f>
        <v>0</v>
      </c>
      <c r="K2" s="32"/>
      <c r="L2" s="2">
        <f>SUM(F2,I2)</f>
        <v>6296146.54</v>
      </c>
      <c r="M2" s="2">
        <f>SUM(G2,J2)</f>
        <v>17629210.311999995</v>
      </c>
      <c r="N2" s="32"/>
      <c r="O2" s="2" t="str">
        <f>IF('Input-Utilities'!D24="","",'Input-Utilities'!D24)</f>
        <v>n/a</v>
      </c>
      <c r="P2" s="2" t="str">
        <f>IF('Input-Utilities'!E24="","",'Input-Utilities'!E24)</f>
        <v>n/a</v>
      </c>
      <c r="Q2" s="2" t="str">
        <f>IF('Input-Utilities'!F24="","",'Input-Utilities'!F24)</f>
        <v/>
      </c>
      <c r="R2" s="2" t="str">
        <f>IF('Input-Utilities'!G24="","",'Input-Utilities'!G24)</f>
        <v>Arizona Public Service Company (APS)</v>
      </c>
      <c r="S2" s="2">
        <f>IF('Input-Utilities'!D41="","",IFERROR('Input-Utilities'!D41*INDEX(Assumptions!$D$6:$D$17,MATCH('Input-Utilities'!$F10,Assumptions!$C$6:$C$17,0))/1000,""))</f>
        <v>62279.235999999997</v>
      </c>
      <c r="T2" s="2">
        <f>IF('Input-Utilities'!E41="","",IFERROR('Input-Utilities'!E41*INDEX(Assumptions!$D$6:$D$17,MATCH('Input-Utilities'!$F10,Assumptions!$C$6:$C$17,0))/1000,""))</f>
        <v>3363065.0959999999</v>
      </c>
      <c r="U2" s="32"/>
      <c r="V2" s="2">
        <f>IF('Input-Utilities'!G41="","",IFERROR('Input-Utilities'!G41*INDEX(Assumptions!$D$6:$D$17,MATCH('Input-Utilities'!$F10,Assumptions!$C$6:$C$17,0))/1000,""))</f>
        <v>0</v>
      </c>
      <c r="W2" s="2">
        <f>IF('Input-Utilities'!H41="","",IFERROR('Input-Utilities'!H41*INDEX(Assumptions!$D$6:$D$17,MATCH('Input-Utilities'!$F10,Assumptions!$C$6:$C$17,0))/1000,""))</f>
        <v>2797840</v>
      </c>
      <c r="X2" s="2">
        <f>IF('Input-Utilities'!I41="","",IFERROR('Input-Utilities'!I41*INDEX(Assumptions!$D$6:$D$17,MATCH('Input-Utilities'!$F10,Assumptions!$C$6:$C$17,0))/1000,""))</f>
        <v>4711.9719999999998</v>
      </c>
      <c r="Y2" s="32"/>
      <c r="Z2" s="2">
        <f>SUM(V2:X2)</f>
        <v>2802551.9720000001</v>
      </c>
      <c r="AA2" s="2" t="b">
        <f>'Input-Utilities'!E41&gt;0</f>
        <v>1</v>
      </c>
      <c r="AB2" s="2" t="b">
        <f>'Input-Utilities'!D41&gt;0</f>
        <v>1</v>
      </c>
      <c r="AC2" s="2" t="b">
        <f>'Input-Utilities'!G41&gt;0</f>
        <v>0</v>
      </c>
      <c r="AD2" s="32"/>
      <c r="AE2" s="32"/>
      <c r="AF2" s="32"/>
      <c r="AG2" s="2" t="str">
        <f>IF('Input-Utilities'!K41="","",'Input-Utilities'!K41)</f>
        <v/>
      </c>
    </row>
    <row r="3" spans="1:33" x14ac:dyDescent="0.2">
      <c r="A3" s="2"/>
      <c r="B3" s="2" t="str">
        <f>IF('Input-Utilities'!C11="","",'Input-Utilities'!C11)</f>
        <v>Natural Gas</v>
      </c>
      <c r="C3" s="2">
        <f>IF('Input-Utilities'!D11="","",ROUND('Input-Utilities'!D11,0))</f>
        <v>16794</v>
      </c>
      <c r="D3" s="2">
        <f>IF('Input-Utilities'!G11="","",ROUND('Input-Utilities'!G11,0))</f>
        <v>0</v>
      </c>
      <c r="E3" s="2">
        <f t="shared" ref="E3:E5" si="0">SUM(C3:D3)</f>
        <v>16794</v>
      </c>
      <c r="F3" s="2">
        <f>IF('Input-Utilities'!E11="","",IFERROR('Input-Utilities'!E11*INDEX(Assumptions!$D$6:$D$17,MATCH('Input-Utilities'!$F11,Assumptions!$C$6:$C$17,0))/1000,""))</f>
        <v>2186700</v>
      </c>
      <c r="G3" s="2">
        <f>IF('Input-Utilities'!E11="","",IFERROR('Input-Utilities'!E11*INDEX(Assumptions!$F$6:$F$17,MATCH('Input-Utilities'!$F11,Assumptions!$C$6:$C$17,0))/1000,""))</f>
        <v>2296035</v>
      </c>
      <c r="H3" s="32"/>
      <c r="I3" s="2">
        <f>IF('Input-Utilities'!H11="","",IFERROR('Input-Utilities'!H11*INDEX(Assumptions!$D$6:$D$17,MATCH('Input-Utilities'!$F11,Assumptions!$C$6:$C$17,0))/1000,""))</f>
        <v>0</v>
      </c>
      <c r="J3" s="2">
        <f>IF('Input-Utilities'!H11="","",IFERROR('Input-Utilities'!H11*INDEX(Assumptions!$F$6:$F$17,MATCH('Input-Utilities'!$F11,Assumptions!$C$6:$C$17,0))/1000,""))</f>
        <v>0</v>
      </c>
      <c r="K3" s="32"/>
      <c r="L3" s="2">
        <f t="shared" ref="L3:L4" si="1">SUM(F3,I3)</f>
        <v>2186700</v>
      </c>
      <c r="M3" s="2">
        <f t="shared" ref="M3" si="2">SUM(G3,J3)</f>
        <v>2296035</v>
      </c>
      <c r="N3" s="32"/>
      <c r="O3" s="2" t="str">
        <f>IF('Input-Utilities'!D25="","",'Input-Utilities'!D25)</f>
        <v>n/a</v>
      </c>
      <c r="P3" s="2" t="str">
        <f>IF('Input-Utilities'!E25="","",'Input-Utilities'!E25)</f>
        <v>n/a</v>
      </c>
      <c r="Q3" s="2" t="str">
        <f>IF('Input-Utilities'!F25="","",'Input-Utilities'!F25)</f>
        <v/>
      </c>
      <c r="R3" s="2" t="str">
        <f>IF('Input-Utilities'!G25="","",'Input-Utilities'!G25)</f>
        <v>Southwest Gas</v>
      </c>
      <c r="S3" s="2">
        <f>IF('Input-Utilities'!D42="","",IFERROR('Input-Utilities'!D42*INDEX(Assumptions!$D$6:$D$17,MATCH('Input-Utilities'!$F11,Assumptions!$C$6:$C$17,0))/1000,""))</f>
        <v>218700</v>
      </c>
      <c r="T3" s="2">
        <f>IF('Input-Utilities'!E42="","",IFERROR('Input-Utilities'!E42*INDEX(Assumptions!$D$6:$D$17,MATCH('Input-Utilities'!$F11,Assumptions!$C$6:$C$17,0))/1000,""))</f>
        <v>0</v>
      </c>
      <c r="U3" s="32"/>
      <c r="V3" s="2">
        <f>IF('Input-Utilities'!G42="","",IFERROR('Input-Utilities'!G42*INDEX(Assumptions!$D$6:$D$17,MATCH('Input-Utilities'!$F11,Assumptions!$C$6:$C$17,0))/1000,""))</f>
        <v>1652000</v>
      </c>
      <c r="W3" s="2" t="str">
        <f>IF('Input-Utilities'!H42="","",IFERROR('Input-Utilities'!H42*INDEX(Assumptions!$D$6:$D$17,MATCH('Input-Utilities'!$F11,Assumptions!$C$6:$C$17,0))/1000,""))</f>
        <v/>
      </c>
      <c r="X3" s="2">
        <f>IF('Input-Utilities'!I42="","",IFERROR('Input-Utilities'!I42*INDEX(Assumptions!$D$6:$D$17,MATCH('Input-Utilities'!$F11,Assumptions!$C$6:$C$17,0))/1000,""))</f>
        <v>316000</v>
      </c>
      <c r="Y3" s="32"/>
      <c r="Z3" s="2">
        <f t="shared" ref="Z3:Z4" si="3">SUM(V3:X3)</f>
        <v>1968000</v>
      </c>
      <c r="AA3" s="2" t="b">
        <f>'Input-Utilities'!E42&gt;0</f>
        <v>0</v>
      </c>
      <c r="AB3" s="2" t="b">
        <f>'Input-Utilities'!D42&gt;0</f>
        <v>1</v>
      </c>
      <c r="AC3" s="2" t="b">
        <f>'Input-Utilities'!G42&gt;0</f>
        <v>1</v>
      </c>
      <c r="AD3" s="32"/>
      <c r="AE3" s="32"/>
      <c r="AF3" s="32"/>
      <c r="AG3" s="2" t="str">
        <f>IF('Input-Utilities'!K42="","",'Input-Utilities'!K42)</f>
        <v/>
      </c>
    </row>
    <row r="4" spans="1:33" x14ac:dyDescent="0.2">
      <c r="A4" s="2"/>
      <c r="B4" s="2" t="str">
        <f>IF('Input-Utilities'!C12="","",'Input-Utilities'!C12)</f>
        <v>n/a</v>
      </c>
      <c r="C4" s="2" t="str">
        <f>IF('Input-Utilities'!D12="","",ROUND('Input-Utilities'!D12,0))</f>
        <v/>
      </c>
      <c r="D4" s="2" t="str">
        <f>IF('Input-Utilities'!G12="","",ROUND('Input-Utilities'!G12,0))</f>
        <v/>
      </c>
      <c r="E4" s="2">
        <f t="shared" si="0"/>
        <v>0</v>
      </c>
      <c r="F4" s="2" t="str">
        <f>IF('Input-Utilities'!E12="","",IFERROR('Input-Utilities'!E12*INDEX(Assumptions!$D$6:$D$17,MATCH('Input-Utilities'!$F12,Assumptions!$C$6:$C$17,0))/1000,""))</f>
        <v/>
      </c>
      <c r="G4" s="2" t="str">
        <f>IF('Input-Utilities'!E12="","",IFERROR('Input-Utilities'!E12*INDEX(Assumptions!$F$6:$F$17,MATCH('Input-Utilities'!$F12,Assumptions!$C$6:$C$17,0))/1000,""))</f>
        <v/>
      </c>
      <c r="H4" s="32"/>
      <c r="I4" s="2" t="str">
        <f>IF('Input-Utilities'!H12="","",IFERROR('Input-Utilities'!H12*INDEX(Assumptions!$D$6:$D$17,MATCH('Input-Utilities'!$F12,Assumptions!$C$6:$C$17,0))/1000,""))</f>
        <v/>
      </c>
      <c r="J4" s="2" t="str">
        <f>IF('Input-Utilities'!H12="","",IFERROR('Input-Utilities'!H12*INDEX(Assumptions!$F$6:$F$17,MATCH('Input-Utilities'!$F12,Assumptions!$C$6:$C$17,0))/1000,""))</f>
        <v/>
      </c>
      <c r="K4" s="32"/>
      <c r="L4" s="2">
        <f t="shared" si="1"/>
        <v>0</v>
      </c>
      <c r="M4" s="2">
        <f>SUM(G4,J4)</f>
        <v>0</v>
      </c>
      <c r="N4" s="32"/>
      <c r="O4" s="2" t="str">
        <f>IF('Input-Utilities'!D26="","",'Input-Utilities'!D26)</f>
        <v/>
      </c>
      <c r="P4" s="2" t="str">
        <f>IF('Input-Utilities'!E26="","",'Input-Utilities'!E26)</f>
        <v/>
      </c>
      <c r="Q4" s="2" t="str">
        <f>IF('Input-Utilities'!F26="","",'Input-Utilities'!F26)</f>
        <v/>
      </c>
      <c r="R4" s="2" t="str">
        <f>IF('Input-Utilities'!G26="","",'Input-Utilities'!G26)</f>
        <v/>
      </c>
      <c r="S4" s="2" t="str">
        <f>IF('Input-Utilities'!D43="","",IFERROR('Input-Utilities'!D43*INDEX(Assumptions!$D$6:$D$17,MATCH('Input-Utilities'!$F12,Assumptions!$C$6:$C$17,0))/1000,""))</f>
        <v/>
      </c>
      <c r="T4" s="2" t="str">
        <f>IF('Input-Utilities'!E43="","",IFERROR('Input-Utilities'!E43*INDEX(Assumptions!$D$6:$D$17,MATCH('Input-Utilities'!$F12,Assumptions!$C$6:$C$17,0))/1000,""))</f>
        <v/>
      </c>
      <c r="U4" s="32"/>
      <c r="V4" s="2" t="str">
        <f>IF('Input-Utilities'!G43="","",IFERROR('Input-Utilities'!G43*INDEX(Assumptions!$D$6:$D$17,MATCH('Input-Utilities'!$F12,Assumptions!$C$6:$C$17,0))/1000,""))</f>
        <v/>
      </c>
      <c r="W4" s="2" t="str">
        <f>IF('Input-Utilities'!H43="","",IFERROR('Input-Utilities'!H43*INDEX(Assumptions!$D$6:$D$17,MATCH('Input-Utilities'!$F12,Assumptions!$C$6:$C$17,0))/1000,""))</f>
        <v/>
      </c>
      <c r="X4" s="2" t="str">
        <f>IF('Input-Utilities'!I43="","",IFERROR('Input-Utilities'!I43*INDEX(Assumptions!$D$6:$D$17,MATCH('Input-Utilities'!$F12,Assumptions!$C$6:$C$17,0))/1000,""))</f>
        <v/>
      </c>
      <c r="Y4" s="32"/>
      <c r="Z4" s="2">
        <f t="shared" si="3"/>
        <v>0</v>
      </c>
      <c r="AA4" s="2" t="b">
        <f>'Input-Utilities'!E43&gt;0</f>
        <v>0</v>
      </c>
      <c r="AB4" s="2" t="b">
        <f>'Input-Utilities'!D43&gt;0</f>
        <v>0</v>
      </c>
      <c r="AC4" s="2" t="b">
        <f>'Input-Utilities'!G43&gt;0</f>
        <v>0</v>
      </c>
      <c r="AD4" s="32"/>
      <c r="AE4" s="32"/>
      <c r="AF4" s="32"/>
      <c r="AG4" s="2" t="str">
        <f>IF('Input-Utilities'!K43="","",'Input-Utilities'!K43)</f>
        <v/>
      </c>
    </row>
    <row r="5" spans="1:33" x14ac:dyDescent="0.2">
      <c r="A5" s="2"/>
      <c r="B5" s="2" t="str">
        <f>IF('Input-Utilities'!C13="","",'Input-Utilities'!C13)</f>
        <v>Water and Sewer</v>
      </c>
      <c r="C5" s="2">
        <f>IF('Input-Utilities'!D13="","",ROUND('Input-Utilities'!D13,0))</f>
        <v>0</v>
      </c>
      <c r="D5" s="2">
        <f>IF('Input-Utilities'!G13="","",ROUND('Input-Utilities'!G13,0))</f>
        <v>33953</v>
      </c>
      <c r="E5" s="2">
        <f t="shared" si="0"/>
        <v>33953</v>
      </c>
      <c r="F5" s="32"/>
      <c r="G5" s="32"/>
      <c r="H5" s="2">
        <f>IF('Input-Utilities'!E13="","",IFERROR('Input-Utilities'!E13*INDEX(Assumptions!$D$20:$D$23,MATCH('Input-Utilities'!$F13,Assumptions!$C$20:$C$23,0))/1000,""))</f>
        <v>0</v>
      </c>
      <c r="I5" s="32"/>
      <c r="J5" s="32"/>
      <c r="K5" s="2">
        <f>IF('Input-Utilities'!H13="","",IFERROR('Input-Utilities'!H13*INDEX(Assumptions!$D$20:$D$23,MATCH('Input-Utilities'!$F13,Assumptions!$C$20:$C$23,0))/1000,""))</f>
        <v>7637.7340000000004</v>
      </c>
      <c r="L5" s="32"/>
      <c r="M5" s="32"/>
      <c r="N5" s="2">
        <f>SUM(H5,K5)</f>
        <v>7637.7340000000004</v>
      </c>
      <c r="O5" s="2" t="str">
        <f>IF('Input-Utilities'!D27="","",'Input-Utilities'!D27)</f>
        <v>RUBS</v>
      </c>
      <c r="P5" s="2" t="str">
        <f>IF('Input-Utilities'!E27="","",'Input-Utilities'!E27)</f>
        <v>Whole property aggregate</v>
      </c>
      <c r="Q5" s="2" t="str">
        <f>IF('Input-Utilities'!F27="","",'Input-Utilities'!F27)</f>
        <v/>
      </c>
      <c r="R5" s="2" t="str">
        <f>IF('Input-Utilities'!G27="","",'Input-Utilities'!G27)</f>
        <v>Phoenix Water Services</v>
      </c>
      <c r="S5" s="32"/>
      <c r="T5" s="32"/>
      <c r="U5" s="2">
        <f>IF('Input-Utilities'!F44="","",IFERROR('Input-Utilities'!F44*INDEX(Assumptions!$D$20:$D$23,MATCH('Input-Utilities'!$F13,Assumptions!$C$20:$C$23,0))/1000,""))</f>
        <v>1.224</v>
      </c>
      <c r="V5" s="32"/>
      <c r="W5" s="32"/>
      <c r="X5" s="32"/>
      <c r="Y5" s="2">
        <f>IF('Input-Utilities'!I44="","",IFERROR('Input-Utilities'!I44*INDEX(Assumptions!$D$20:$D$23,MATCH('Input-Utilities'!$F13,Assumptions!$C$20:$C$23,0))/1000,""))</f>
        <v>7636.51</v>
      </c>
      <c r="Z5" s="32"/>
      <c r="AA5" s="32"/>
      <c r="AB5" s="32"/>
      <c r="AC5" s="32"/>
      <c r="AD5" s="2" t="b">
        <f>'Input-Utilities'!F44&gt;0</f>
        <v>1</v>
      </c>
      <c r="AE5" s="2" t="b">
        <f>SUM('Input-WaterCalc'!E55:F56)&gt;0</f>
        <v>1</v>
      </c>
      <c r="AF5" s="2" t="b">
        <f>SUM('Input-WaterCalc'!E57:F57)&gt;0</f>
        <v>1</v>
      </c>
      <c r="AG5" s="2" t="str">
        <f>IF('Input-Utilities'!K44="","",'Input-Utilities'!K44)</f>
        <v/>
      </c>
    </row>
  </sheetData>
  <pageMargins left="0.7" right="0.7" top="0.75" bottom="0.75" header="0.3" footer="0.3"/>
  <pageSetup orientation="portrait" r:id="rId1"/>
  <headerFooter>
    <oddFooter>&amp;L_x000D_&amp;1#&amp;"Calibri"&amp;10&amp;K000000 Fannie Mae Confidential&amp;CConfidential - Internal Distribution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C000"/>
  </sheetPr>
  <dimension ref="A1:N6"/>
  <sheetViews>
    <sheetView zoomScaleNormal="100" workbookViewId="0">
      <selection activeCell="C4" sqref="C4:K4"/>
    </sheetView>
  </sheetViews>
  <sheetFormatPr baseColWidth="10" defaultColWidth="8.83203125" defaultRowHeight="15" x14ac:dyDescent="0.2"/>
  <cols>
    <col min="2" max="12" width="16.6640625" customWidth="1"/>
  </cols>
  <sheetData>
    <row r="1" spans="1:14" s="3" customFormat="1" x14ac:dyDescent="0.2">
      <c r="A1" s="66" t="s">
        <v>427</v>
      </c>
      <c r="B1" s="66" t="s">
        <v>504</v>
      </c>
      <c r="C1" s="66" t="s">
        <v>505</v>
      </c>
      <c r="D1" s="69" t="s">
        <v>506</v>
      </c>
      <c r="E1" s="69" t="s">
        <v>507</v>
      </c>
    </row>
    <row r="2" spans="1:14" x14ac:dyDescent="0.2">
      <c r="A2" s="2"/>
      <c r="B2" s="2" t="str">
        <f>IF('Input-Utilities'!C30="", "", 'Input-Utilities'!C30)</f>
        <v>In-Unit Heating</v>
      </c>
      <c r="C2" s="2" t="str">
        <f>IF('Input-Utilities'!D30="", "", 'Input-Utilities'!D30)</f>
        <v>Owner</v>
      </c>
      <c r="D2" s="2" t="str">
        <f>IF('Input-Utilities'!E30="", "", 'Input-Utilities'!E30)</f>
        <v>Natural Gas</v>
      </c>
      <c r="E2" s="2" t="str">
        <f>IF('Input-Utilities'!F30="", "", 'Input-Utilities'!F30)</f>
        <v/>
      </c>
      <c r="F2" s="68"/>
      <c r="G2" s="68"/>
      <c r="H2" s="68"/>
      <c r="I2" s="68"/>
      <c r="J2" s="68"/>
      <c r="K2" s="68"/>
      <c r="L2" s="68"/>
      <c r="M2" s="68"/>
    </row>
    <row r="3" spans="1:14" x14ac:dyDescent="0.2">
      <c r="A3" s="2"/>
      <c r="B3" s="2" t="str">
        <f>IF('Input-Utilities'!C31="", "", 'Input-Utilities'!C31)</f>
        <v>In-Unit Water Heating</v>
      </c>
      <c r="C3" s="2" t="str">
        <f>IF('Input-Utilities'!D31="", "", 'Input-Utilities'!D31)</f>
        <v>Owner</v>
      </c>
      <c r="D3" s="2" t="str">
        <f>IF('Input-Utilities'!E31="", "", 'Input-Utilities'!E31)</f>
        <v>Natural Gas</v>
      </c>
      <c r="E3" s="2" t="str">
        <f>IF('Input-Utilities'!F31="", "", 'Input-Utilities'!F31)</f>
        <v/>
      </c>
    </row>
    <row r="4" spans="1:14" x14ac:dyDescent="0.2">
      <c r="A4" s="2"/>
      <c r="B4" s="2" t="str">
        <f>IF('Input-Utilities'!C32="", "", 'Input-Utilities'!C32)</f>
        <v>In-Unit Electricity</v>
      </c>
      <c r="C4" s="2" t="str">
        <f>IF('Input-Utilities'!D32="", "", 'Input-Utilities'!D32)</f>
        <v>Owner</v>
      </c>
      <c r="D4" s="2" t="str">
        <f>IF('Input-Utilities'!E32="", "", 'Input-Utilities'!E32)</f>
        <v>Electricity</v>
      </c>
      <c r="E4" s="2" t="str">
        <f>IF('Input-Utilities'!F32="", "", 'Input-Utilities'!F32)</f>
        <v/>
      </c>
    </row>
    <row r="5" spans="1:14" x14ac:dyDescent="0.2">
      <c r="A5" s="2"/>
      <c r="B5" s="2" t="str">
        <f>IF('Input-Utilities'!C33="", "", 'Input-Utilities'!C33)</f>
        <v>In-Unit Cooling</v>
      </c>
      <c r="C5" s="2" t="str">
        <f>IF('Input-Utilities'!D33="", "", 'Input-Utilities'!D33)</f>
        <v>Owner</v>
      </c>
      <c r="D5" s="2" t="str">
        <f>IF('Input-Utilities'!E33="", "", 'Input-Utilities'!E33)</f>
        <v>Electricity</v>
      </c>
      <c r="E5" s="2" t="str">
        <f>IF('Input-Utilities'!F33="", "", 'Input-Utilities'!F33)</f>
        <v/>
      </c>
    </row>
    <row r="6" spans="1:14" x14ac:dyDescent="0.2">
      <c r="N6" s="28"/>
    </row>
  </sheetData>
  <pageMargins left="0.7" right="0.7" top="0.75" bottom="0.75" header="0.3" footer="0.3"/>
  <pageSetup orientation="portrait" r:id="rId1"/>
  <headerFooter>
    <oddFooter>&amp;L_x000D_&amp;1#&amp;"Calibri"&amp;10&amp;K000000 Fannie Mae Confidential&amp;CConfidential - Internal Distribution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000"/>
  </sheetPr>
  <dimension ref="A1:Q13"/>
  <sheetViews>
    <sheetView zoomScaleNormal="100" workbookViewId="0">
      <selection activeCell="C4" sqref="C4:K4"/>
    </sheetView>
  </sheetViews>
  <sheetFormatPr baseColWidth="10" defaultColWidth="9.33203125" defaultRowHeight="15" x14ac:dyDescent="0.2"/>
  <cols>
    <col min="1" max="1" width="10.5" style="46" customWidth="1"/>
    <col min="2" max="2" width="16.6640625" style="46" customWidth="1"/>
    <col min="3" max="3" width="10.33203125" style="46" customWidth="1"/>
    <col min="4" max="4" width="9.6640625" style="46" customWidth="1"/>
    <col min="5" max="5" width="13" style="46" customWidth="1"/>
    <col min="6" max="6" width="10.6640625" style="46" customWidth="1"/>
    <col min="7" max="7" width="15.5" style="46" customWidth="1"/>
    <col min="8" max="8" width="14.6640625" style="46" customWidth="1"/>
    <col min="9" max="9" width="11.6640625" style="46" customWidth="1"/>
    <col min="10" max="16384" width="9.33203125" style="46"/>
  </cols>
  <sheetData>
    <row r="1" spans="1:17" x14ac:dyDescent="0.2">
      <c r="A1" s="66" t="s">
        <v>427</v>
      </c>
      <c r="B1" s="66" t="s">
        <v>508</v>
      </c>
      <c r="C1" s="66" t="s">
        <v>509</v>
      </c>
      <c r="D1" s="66" t="s">
        <v>510</v>
      </c>
      <c r="E1" s="66" t="s">
        <v>511</v>
      </c>
      <c r="F1" s="66" t="s">
        <v>512</v>
      </c>
      <c r="G1" s="66" t="s">
        <v>513</v>
      </c>
      <c r="H1" s="66" t="s">
        <v>514</v>
      </c>
      <c r="I1" s="66" t="s">
        <v>515</v>
      </c>
      <c r="J1" s="66" t="s">
        <v>516</v>
      </c>
      <c r="K1" s="66" t="s">
        <v>517</v>
      </c>
      <c r="L1" s="66" t="s">
        <v>518</v>
      </c>
      <c r="M1" s="66" t="s">
        <v>519</v>
      </c>
      <c r="N1" s="66" t="s">
        <v>520</v>
      </c>
      <c r="O1" s="66" t="s">
        <v>521</v>
      </c>
      <c r="P1" s="66" t="s">
        <v>522</v>
      </c>
      <c r="Q1" s="766"/>
    </row>
    <row r="2" spans="1:17" x14ac:dyDescent="0.2">
      <c r="A2" s="769"/>
      <c r="B2" s="769" t="s">
        <v>333</v>
      </c>
      <c r="C2" s="769">
        <f>IF('Input-WaterCalc'!E13="","",'Input-WaterCalc'!E13)</f>
        <v>129</v>
      </c>
      <c r="D2" s="769">
        <f>IF('Input-WaterCalc'!E14="","",'Input-WaterCalc'!E14)</f>
        <v>0</v>
      </c>
      <c r="E2" s="769">
        <f>IF('Input-WaterCalc'!F13="","",'Input-WaterCalc'!F13)</f>
        <v>1</v>
      </c>
      <c r="F2" s="769">
        <f>IF('Input-WaterCalc'!F14="","",'Input-WaterCalc'!F14)</f>
        <v>0</v>
      </c>
      <c r="G2" s="769">
        <f>IF('Input-WaterCalc'!H13="","",'Input-WaterCalc'!H13)</f>
        <v>2.4</v>
      </c>
      <c r="H2" s="769">
        <f>IF('Input-WaterCalc'!H14="","",'Input-WaterCalc'!H14)</f>
        <v>0</v>
      </c>
      <c r="I2" s="769">
        <f>IF('Input-WaterCalc'!J13="","",'Input-WaterCalc'!J13)</f>
        <v>1.5</v>
      </c>
      <c r="J2" s="769" t="s">
        <v>336</v>
      </c>
      <c r="K2" s="769">
        <f>IF('Input-WaterCalc'!G34="",'Input-WaterCalc'!E34,'Input-WaterCalc'!G34)</f>
        <v>4</v>
      </c>
      <c r="L2" s="769" t="s">
        <v>347</v>
      </c>
      <c r="M2" s="769">
        <f>'Input-WaterCalc'!$E$42</f>
        <v>0.75</v>
      </c>
      <c r="N2" s="774">
        <f>IFERROR('Input-WaterCalc'!E51/1000,"")</f>
        <v>1534.752</v>
      </c>
      <c r="O2" s="774">
        <f>IFERROR('Input-WaterCalc'!G51/1000,"")</f>
        <v>1103.1030000000001</v>
      </c>
      <c r="P2" s="774">
        <f>IFERROR('Input-WaterCalc'!I51/1000,"")</f>
        <v>431.649</v>
      </c>
      <c r="Q2" s="775"/>
    </row>
    <row r="3" spans="1:17" x14ac:dyDescent="0.2">
      <c r="A3" s="769"/>
      <c r="B3" s="769" t="s">
        <v>523</v>
      </c>
      <c r="C3" s="769">
        <f>IF('Input-WaterCalc'!E15="","",'Input-WaterCalc'!E15)</f>
        <v>235</v>
      </c>
      <c r="D3" s="769">
        <f>IF('Input-WaterCalc'!E16="","",'Input-WaterCalc'!E16)</f>
        <v>0</v>
      </c>
      <c r="E3" s="769">
        <f>IF('Input-WaterCalc'!F15="","",'Input-WaterCalc'!F15)</f>
        <v>1</v>
      </c>
      <c r="F3" s="769">
        <f>IF('Input-WaterCalc'!F16="","",'Input-WaterCalc'!F16)</f>
        <v>0</v>
      </c>
      <c r="G3" s="769">
        <f>IF('Input-WaterCalc'!H15="","",'Input-WaterCalc'!H15)</f>
        <v>2.04</v>
      </c>
      <c r="H3" s="769">
        <f>IF('Input-WaterCalc'!H16="","",'Input-WaterCalc'!H16)</f>
        <v>0</v>
      </c>
      <c r="I3" s="769">
        <f>IF('Input-WaterCalc'!J15="","",'Input-WaterCalc'!J15)</f>
        <v>1</v>
      </c>
      <c r="J3" s="769" t="s">
        <v>336</v>
      </c>
      <c r="K3" s="769">
        <f>IF('Input-WaterCalc'!G35="",'Input-WaterCalc'!E35,'Input-WaterCalc'!G35)</f>
        <v>2</v>
      </c>
      <c r="L3" s="769" t="s">
        <v>347</v>
      </c>
      <c r="M3" s="769">
        <f>'Input-WaterCalc'!$E$42</f>
        <v>0.75</v>
      </c>
      <c r="N3" s="774">
        <f>IFERROR('Input-WaterCalc'!E52/1000,"")</f>
        <v>652.26959999999997</v>
      </c>
      <c r="O3" s="774">
        <f>IFERROR('Input-WaterCalc'!G52/1000,"")</f>
        <v>402.87240000000003</v>
      </c>
      <c r="P3" s="774">
        <f>IFERROR('Input-WaterCalc'!I52/1000,"")</f>
        <v>249.39719999999994</v>
      </c>
      <c r="Q3" s="775"/>
    </row>
    <row r="4" spans="1:17" x14ac:dyDescent="0.2">
      <c r="A4" s="769"/>
      <c r="B4" s="769" t="s">
        <v>338</v>
      </c>
      <c r="C4" s="769">
        <f>IF('Input-WaterCalc'!E17="","",'Input-WaterCalc'!E17)</f>
        <v>181</v>
      </c>
      <c r="D4" s="769">
        <f>IF('Input-WaterCalc'!E18="","",'Input-WaterCalc'!E18)</f>
        <v>0</v>
      </c>
      <c r="E4" s="769">
        <f>IF('Input-WaterCalc'!F17="","",'Input-WaterCalc'!F17)</f>
        <v>1</v>
      </c>
      <c r="F4" s="769">
        <f>IF('Input-WaterCalc'!F18="","",'Input-WaterCalc'!F18)</f>
        <v>0</v>
      </c>
      <c r="G4" s="769">
        <f>IF('Input-WaterCalc'!H17="","",'Input-WaterCalc'!H17)</f>
        <v>2.25</v>
      </c>
      <c r="H4" s="769">
        <f>IF('Input-WaterCalc'!H18="","",'Input-WaterCalc'!H18)</f>
        <v>0</v>
      </c>
      <c r="I4" s="769">
        <f>IF('Input-WaterCalc'!J17="","",'Input-WaterCalc'!J17)</f>
        <v>1.5</v>
      </c>
      <c r="J4" s="769" t="s">
        <v>336</v>
      </c>
      <c r="K4" s="769">
        <f>IF('Input-WaterCalc'!G36="",'Input-WaterCalc'!E36,'Input-WaterCalc'!G36)</f>
        <v>8</v>
      </c>
      <c r="L4" s="769" t="s">
        <v>347</v>
      </c>
      <c r="M4" s="769">
        <f>'Input-WaterCalc'!$E$42</f>
        <v>0.75</v>
      </c>
      <c r="N4" s="774">
        <f>IFERROR('Input-WaterCalc'!E53/1000,"")</f>
        <v>2877.66</v>
      </c>
      <c r="O4" s="774">
        <f>IFERROR('Input-WaterCalc'!G53/1000,"")</f>
        <v>2158.2449999999999</v>
      </c>
      <c r="P4" s="774">
        <f>IFERROR('Input-WaterCalc'!I53/1000,"")</f>
        <v>719.41499999999996</v>
      </c>
      <c r="Q4" s="775"/>
    </row>
    <row r="5" spans="1:17" x14ac:dyDescent="0.2">
      <c r="A5" s="769"/>
      <c r="B5" s="769" t="s">
        <v>339</v>
      </c>
      <c r="C5" s="769">
        <f>IF('Input-WaterCalc'!E19="","",'Input-WaterCalc'!E19)</f>
        <v>235</v>
      </c>
      <c r="D5" s="769">
        <f>IF('Input-WaterCalc'!E20="","",'Input-WaterCalc'!E20)</f>
        <v>0</v>
      </c>
      <c r="E5" s="769">
        <f>IF('Input-WaterCalc'!F19="","",'Input-WaterCalc'!F19)</f>
        <v>1</v>
      </c>
      <c r="F5" s="769">
        <f>IF('Input-WaterCalc'!F20="","",'Input-WaterCalc'!F20)</f>
        <v>0</v>
      </c>
      <c r="G5" s="769">
        <f>IF('Input-WaterCalc'!H19="","",'Input-WaterCalc'!H19)</f>
        <v>2.54</v>
      </c>
      <c r="H5" s="769">
        <f>IF('Input-WaterCalc'!H20="","",'Input-WaterCalc'!H20)</f>
        <v>0</v>
      </c>
      <c r="I5" s="769">
        <f>IF('Input-WaterCalc'!J19="","",'Input-WaterCalc'!J19)</f>
        <v>0.8</v>
      </c>
      <c r="J5" s="769" t="s">
        <v>340</v>
      </c>
      <c r="K5" s="769">
        <f>IF('Input-WaterCalc'!G37="",'Input-WaterCalc'!E37,'Input-WaterCalc'!G37)</f>
        <v>5</v>
      </c>
      <c r="L5" s="769" t="s">
        <v>348</v>
      </c>
      <c r="M5" s="776"/>
      <c r="N5" s="774">
        <f>IFERROR('Input-WaterCalc'!E54/1000,"")</f>
        <v>2030.3490000000002</v>
      </c>
      <c r="O5" s="774">
        <f>IFERROR('Input-WaterCalc'!G54/1000,"")</f>
        <v>639.48000000000013</v>
      </c>
      <c r="P5" s="774">
        <f>IFERROR('Input-WaterCalc'!I54/1000,"")</f>
        <v>1390.8689999999999</v>
      </c>
      <c r="Q5" s="775"/>
    </row>
    <row r="6" spans="1:17" x14ac:dyDescent="0.2">
      <c r="A6" s="769"/>
      <c r="B6" s="769" t="s">
        <v>524</v>
      </c>
      <c r="C6" s="769">
        <f>IF('Input-WaterCalc'!E21="","",'Input-WaterCalc'!E21)</f>
        <v>0</v>
      </c>
      <c r="D6" s="769">
        <f>IF('Input-WaterCalc'!E22="","",'Input-WaterCalc'!E22)</f>
        <v>0</v>
      </c>
      <c r="E6" s="769">
        <f>IF('Input-WaterCalc'!F21="","",'Input-WaterCalc'!F21)</f>
        <v>0</v>
      </c>
      <c r="F6" s="769">
        <f>IF('Input-WaterCalc'!F22="","",'Input-WaterCalc'!F22)</f>
        <v>0</v>
      </c>
      <c r="G6" s="769">
        <f>IF('Input-WaterCalc'!H21="","",'Input-WaterCalc'!H21)</f>
        <v>0</v>
      </c>
      <c r="H6" s="769">
        <f>IF('Input-WaterCalc'!H22="","",'Input-WaterCalc'!H22)</f>
        <v>0</v>
      </c>
      <c r="I6" s="769">
        <f>IF('Input-WaterCalc'!J21="","",'Input-WaterCalc'!J21)</f>
        <v>0</v>
      </c>
      <c r="J6" s="769" t="s">
        <v>164</v>
      </c>
      <c r="K6" s="769">
        <f>IF('Input-WaterCalc'!G38="",'Input-WaterCalc'!E38,'Input-WaterCalc'!G38)</f>
        <v>0.4</v>
      </c>
      <c r="L6" s="769" t="s">
        <v>349</v>
      </c>
      <c r="M6" s="776"/>
      <c r="N6" s="774">
        <f>IFERROR('Input-WaterCalc'!E55/1000,"")</f>
        <v>0</v>
      </c>
      <c r="O6" s="774">
        <f>IFERROR('Input-WaterCalc'!G55/1000,"")</f>
        <v>0</v>
      </c>
      <c r="P6" s="774">
        <f>IFERROR('Input-WaterCalc'!I55/1000,"")</f>
        <v>0</v>
      </c>
      <c r="Q6" s="775"/>
    </row>
    <row r="7" spans="1:17" x14ac:dyDescent="0.2">
      <c r="A7" s="769"/>
      <c r="B7" s="769" t="s">
        <v>525</v>
      </c>
      <c r="C7" s="769">
        <f>IF('Input-WaterCalc'!E23="","",'Input-WaterCalc'!E23)</f>
        <v>0</v>
      </c>
      <c r="D7" s="769">
        <f>IF('Input-WaterCalc'!E24="","",'Input-WaterCalc'!E24)</f>
        <v>9</v>
      </c>
      <c r="E7" s="769">
        <f>IF('Input-WaterCalc'!F23="","",'Input-WaterCalc'!F23)</f>
        <v>0</v>
      </c>
      <c r="F7" s="769">
        <f>IF('Input-WaterCalc'!F24="","",'Input-WaterCalc'!F24)</f>
        <v>1</v>
      </c>
      <c r="G7" s="769">
        <f>IF('Input-WaterCalc'!H23="","",'Input-WaterCalc'!H23)</f>
        <v>0</v>
      </c>
      <c r="H7" s="769">
        <f>IF('Input-WaterCalc'!H24="","",'Input-WaterCalc'!H24)</f>
        <v>20</v>
      </c>
      <c r="I7" s="769">
        <f>IF('Input-WaterCalc'!J23="","",'Input-WaterCalc'!J23)</f>
        <v>0</v>
      </c>
      <c r="J7" s="769" t="s">
        <v>164</v>
      </c>
      <c r="K7" s="769">
        <f>IF('Input-WaterCalc'!G39="",'Input-WaterCalc'!E39,'Input-WaterCalc'!G39)</f>
        <v>0.2</v>
      </c>
      <c r="L7" s="769" t="s">
        <v>349</v>
      </c>
      <c r="M7" s="776"/>
      <c r="N7" s="774">
        <f>IFERROR('Input-WaterCalc'!E56/1000,"")</f>
        <v>639.48</v>
      </c>
      <c r="O7" s="774">
        <f>IFERROR('Input-WaterCalc'!G56/1000,"")</f>
        <v>639.48</v>
      </c>
      <c r="P7" s="774">
        <f>IFERROR('Input-WaterCalc'!I56/1000,"")</f>
        <v>0</v>
      </c>
      <c r="Q7" s="775"/>
    </row>
    <row r="8" spans="1:17" x14ac:dyDescent="0.2">
      <c r="A8" s="769"/>
      <c r="B8" s="769" t="s">
        <v>167</v>
      </c>
      <c r="C8" s="769">
        <f>IF('Input-WaterCalc'!E25="","",'Input-WaterCalc'!E25)</f>
        <v>129</v>
      </c>
      <c r="D8" s="769">
        <f>IF('Input-WaterCalc'!E26="","",'Input-WaterCalc'!E26)</f>
        <v>0</v>
      </c>
      <c r="E8" s="769">
        <f>IF('Input-WaterCalc'!F25="","",'Input-WaterCalc'!F25)</f>
        <v>1</v>
      </c>
      <c r="F8" s="769">
        <f>IF('Input-WaterCalc'!F26="","",'Input-WaterCalc'!F26)</f>
        <v>0</v>
      </c>
      <c r="G8" s="769">
        <f>IF('Input-WaterCalc'!H25="","",'Input-WaterCalc'!H25)</f>
        <v>6</v>
      </c>
      <c r="H8" s="769">
        <f>IF('Input-WaterCalc'!H26="","",'Input-WaterCalc'!H26)</f>
        <v>0</v>
      </c>
      <c r="I8" s="769">
        <f>IF('Input-WaterCalc'!J25="","",'Input-WaterCalc'!J25)</f>
        <v>3.5</v>
      </c>
      <c r="J8" s="769" t="s">
        <v>168</v>
      </c>
      <c r="K8" s="769">
        <f>IF('Input-WaterCalc'!G40="",'Input-WaterCalc'!E40,'Input-WaterCalc'!G40)</f>
        <v>0.2</v>
      </c>
      <c r="L8" s="769" t="s">
        <v>350</v>
      </c>
      <c r="M8" s="776"/>
      <c r="N8" s="774">
        <f>IFERROR('Input-WaterCalc'!E57/1000,"")</f>
        <v>191.84399999999999</v>
      </c>
      <c r="O8" s="774">
        <f>IFERROR('Input-WaterCalc'!G57/1000,"")</f>
        <v>111.90900000000002</v>
      </c>
      <c r="P8" s="774">
        <f>IFERROR('Input-WaterCalc'!I57/1000,"")</f>
        <v>79.934999999999988</v>
      </c>
      <c r="Q8" s="775"/>
    </row>
    <row r="9" spans="1:17" x14ac:dyDescent="0.2">
      <c r="A9" s="769"/>
      <c r="B9" s="769" t="s">
        <v>311</v>
      </c>
      <c r="C9" s="776"/>
      <c r="D9" s="776"/>
      <c r="E9" s="776"/>
      <c r="F9" s="776"/>
      <c r="G9" s="776"/>
      <c r="H9" s="776"/>
      <c r="I9" s="776"/>
      <c r="J9" s="776" t="s">
        <v>279</v>
      </c>
      <c r="K9" s="776"/>
      <c r="L9" s="776" t="s">
        <v>279</v>
      </c>
      <c r="M9" s="776"/>
      <c r="N9" s="774">
        <f>IFERROR('Input-WaterCalc'!E58/1000,"")</f>
        <v>1.224</v>
      </c>
      <c r="O9" s="774">
        <f>IFERROR('Input-WaterCalc'!G58/1000,"")</f>
        <v>1.224</v>
      </c>
      <c r="P9" s="774">
        <f>IFERROR('Input-WaterCalc'!I58/1000,"")</f>
        <v>0</v>
      </c>
      <c r="Q9" s="775"/>
    </row>
    <row r="10" spans="1:17" x14ac:dyDescent="0.2">
      <c r="A10" s="769"/>
      <c r="B10" s="769" t="str">
        <f>IF('Input-WaterCalc'!C59="","",'Input-WaterCalc'!C59)</f>
        <v>Pool</v>
      </c>
      <c r="C10" s="776"/>
      <c r="D10" s="776"/>
      <c r="E10" s="776"/>
      <c r="F10" s="776"/>
      <c r="G10" s="776"/>
      <c r="H10" s="776"/>
      <c r="I10" s="776"/>
      <c r="J10" s="776" t="s">
        <v>279</v>
      </c>
      <c r="K10" s="776"/>
      <c r="L10" s="776" t="s">
        <v>279</v>
      </c>
      <c r="M10" s="776"/>
      <c r="N10" s="774">
        <f>IFERROR('Input-WaterCalc'!E59/1000,"")</f>
        <v>234.529</v>
      </c>
      <c r="O10" s="774">
        <f>IFERROR('Input-WaterCalc'!G59/1000,"")</f>
        <v>234.529</v>
      </c>
      <c r="P10" s="774">
        <f>IFERROR('Input-WaterCalc'!I59/1000,"")</f>
        <v>0</v>
      </c>
      <c r="Q10" s="775"/>
    </row>
    <row r="11" spans="1:17" x14ac:dyDescent="0.2">
      <c r="A11" s="769"/>
      <c r="B11" s="769" t="str">
        <f>IF('Input-WaterCalc'!C60="","",'Input-WaterCalc'!C60)</f>
        <v/>
      </c>
      <c r="C11" s="776"/>
      <c r="D11" s="776"/>
      <c r="E11" s="776"/>
      <c r="F11" s="776"/>
      <c r="G11" s="776"/>
      <c r="H11" s="776"/>
      <c r="I11" s="776"/>
      <c r="J11" s="776" t="s">
        <v>279</v>
      </c>
      <c r="K11" s="776"/>
      <c r="L11" s="776" t="s">
        <v>279</v>
      </c>
      <c r="M11" s="776"/>
      <c r="N11" s="774">
        <f>IFERROR('Input-WaterCalc'!E60/1000,"")</f>
        <v>0</v>
      </c>
      <c r="O11" s="774">
        <f>IFERROR('Input-WaterCalc'!G60/1000,"")</f>
        <v>0</v>
      </c>
      <c r="P11" s="774" t="str">
        <f>IFERROR('Input-WaterCalc'!I60/1000,"")</f>
        <v/>
      </c>
      <c r="Q11" s="775"/>
    </row>
    <row r="12" spans="1:17" x14ac:dyDescent="0.2">
      <c r="A12" s="769"/>
      <c r="B12" s="769" t="str">
        <f>IF('Input-WaterCalc'!C61="","",'Input-WaterCalc'!C61)</f>
        <v/>
      </c>
      <c r="C12" s="776" t="str">
        <f>IF('Input-WaterCalc'!E27="","",'Input-WaterCalc'!E27)</f>
        <v/>
      </c>
      <c r="D12" s="776"/>
      <c r="E12" s="776"/>
      <c r="F12" s="776"/>
      <c r="G12" s="776"/>
      <c r="H12" s="776"/>
      <c r="I12" s="776"/>
      <c r="J12" s="776" t="s">
        <v>279</v>
      </c>
      <c r="K12" s="776"/>
      <c r="L12" s="776" t="s">
        <v>279</v>
      </c>
      <c r="M12" s="776"/>
      <c r="N12" s="774">
        <f>IFERROR('Input-WaterCalc'!E61/1000,"")</f>
        <v>0</v>
      </c>
      <c r="O12" s="774">
        <f>IFERROR('Input-WaterCalc'!G61/1000,"")</f>
        <v>0</v>
      </c>
      <c r="P12" s="774" t="str">
        <f>IFERROR('Input-WaterCalc'!I61/1000,"")</f>
        <v/>
      </c>
      <c r="Q12" s="775"/>
    </row>
    <row r="13" spans="1:17" x14ac:dyDescent="0.2">
      <c r="A13" s="769"/>
      <c r="B13" s="769" t="str">
        <f>IF('Input-WaterCalc'!C62="","",'Input-WaterCalc'!C62)</f>
        <v/>
      </c>
      <c r="C13" s="776"/>
      <c r="D13" s="776"/>
      <c r="E13" s="776"/>
      <c r="F13" s="776"/>
      <c r="G13" s="776"/>
      <c r="H13" s="776"/>
      <c r="I13" s="776"/>
      <c r="J13" s="776" t="s">
        <v>279</v>
      </c>
      <c r="K13" s="776"/>
      <c r="L13" s="776" t="s">
        <v>279</v>
      </c>
      <c r="M13" s="776"/>
      <c r="N13" s="774">
        <f>IFERROR('Input-WaterCalc'!E62/1000,"")</f>
        <v>0</v>
      </c>
      <c r="O13" s="774">
        <f>IFERROR('Input-WaterCalc'!G62/1000,"")</f>
        <v>0</v>
      </c>
      <c r="P13" s="774" t="str">
        <f>IFERROR('Input-WaterCalc'!I62/1000,"")</f>
        <v/>
      </c>
      <c r="Q13" s="775"/>
    </row>
  </sheetData>
  <pageMargins left="0.7" right="0.7" top="0.75" bottom="0.75" header="0.3" footer="0.3"/>
  <pageSetup orientation="portrait" r:id="rId1"/>
  <headerFooter>
    <oddFooter>&amp;L
&amp;1#&amp;"Calibri,Regular"&amp;10&amp;K000000 Fannie Mae Confidential&amp;CConfidential - Internal Distribution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C000"/>
    <pageSetUpPr autoPageBreaks="0"/>
  </sheetPr>
  <dimension ref="A1:AW31"/>
  <sheetViews>
    <sheetView topLeftCell="AG23" zoomScaleNormal="100" workbookViewId="0">
      <selection activeCell="C4" sqref="C4:K4"/>
    </sheetView>
  </sheetViews>
  <sheetFormatPr baseColWidth="10" defaultColWidth="8.83203125" defaultRowHeight="15" x14ac:dyDescent="0.2"/>
  <cols>
    <col min="1" max="1" width="7.6640625" customWidth="1"/>
    <col min="5" max="5" width="36.6640625" customWidth="1"/>
    <col min="19" max="28" width="18.6640625" customWidth="1"/>
    <col min="29" max="38" width="18.33203125" customWidth="1"/>
    <col min="39" max="39" width="16.6640625" customWidth="1"/>
    <col min="40" max="40" width="13.33203125" customWidth="1"/>
    <col min="41" max="42" width="16.33203125" customWidth="1"/>
    <col min="43" max="43" width="12.83203125" customWidth="1"/>
  </cols>
  <sheetData>
    <row r="1" spans="1:49" x14ac:dyDescent="0.2">
      <c r="A1" s="66" t="s">
        <v>427</v>
      </c>
      <c r="B1" s="66" t="s">
        <v>526</v>
      </c>
      <c r="C1" s="66" t="s">
        <v>527</v>
      </c>
      <c r="D1" s="66" t="s">
        <v>528</v>
      </c>
      <c r="E1" s="66" t="s">
        <v>529</v>
      </c>
      <c r="F1" s="66" t="s">
        <v>530</v>
      </c>
      <c r="G1" s="66" t="s">
        <v>531</v>
      </c>
      <c r="H1" s="66" t="s">
        <v>532</v>
      </c>
      <c r="I1" s="66" t="s">
        <v>533</v>
      </c>
      <c r="J1" s="66" t="s">
        <v>534</v>
      </c>
      <c r="K1" s="66" t="s">
        <v>535</v>
      </c>
      <c r="L1" s="66" t="s">
        <v>536</v>
      </c>
      <c r="M1" s="66" t="s">
        <v>537</v>
      </c>
      <c r="N1" s="66" t="s">
        <v>538</v>
      </c>
      <c r="O1" s="66" t="s">
        <v>539</v>
      </c>
      <c r="P1" s="66" t="s">
        <v>540</v>
      </c>
      <c r="Q1" s="66" t="s">
        <v>541</v>
      </c>
      <c r="R1" s="66" t="s">
        <v>542</v>
      </c>
      <c r="S1" s="66" t="s">
        <v>543</v>
      </c>
      <c r="T1" s="66" t="s">
        <v>544</v>
      </c>
      <c r="U1" s="66" t="s">
        <v>545</v>
      </c>
      <c r="V1" s="66" t="s">
        <v>546</v>
      </c>
      <c r="W1" s="66" t="s">
        <v>547</v>
      </c>
      <c r="X1" s="66" t="s">
        <v>548</v>
      </c>
      <c r="Y1" s="66" t="s">
        <v>549</v>
      </c>
      <c r="Z1" s="671" t="s">
        <v>550</v>
      </c>
      <c r="AA1" s="671" t="s">
        <v>551</v>
      </c>
      <c r="AB1" s="671" t="s">
        <v>552</v>
      </c>
      <c r="AC1" s="66" t="s">
        <v>553</v>
      </c>
      <c r="AD1" s="66" t="s">
        <v>554</v>
      </c>
      <c r="AE1" s="66" t="s">
        <v>555</v>
      </c>
      <c r="AF1" s="66" t="s">
        <v>556</v>
      </c>
      <c r="AG1" s="66" t="s">
        <v>557</v>
      </c>
      <c r="AH1" s="66" t="s">
        <v>558</v>
      </c>
      <c r="AI1" s="66" t="s">
        <v>559</v>
      </c>
      <c r="AJ1" s="671" t="s">
        <v>560</v>
      </c>
      <c r="AK1" s="671" t="s">
        <v>561</v>
      </c>
      <c r="AL1" s="671" t="s">
        <v>562</v>
      </c>
      <c r="AM1" s="671" t="s">
        <v>563</v>
      </c>
      <c r="AN1" s="671" t="s">
        <v>564</v>
      </c>
      <c r="AO1" s="66" t="s">
        <v>565</v>
      </c>
      <c r="AP1" s="66" t="s">
        <v>566</v>
      </c>
      <c r="AQ1" s="66" t="s">
        <v>567</v>
      </c>
      <c r="AR1" s="66" t="s">
        <v>568</v>
      </c>
      <c r="AS1" s="66" t="s">
        <v>387</v>
      </c>
      <c r="AT1" s="66" t="s">
        <v>569</v>
      </c>
      <c r="AU1" s="66" t="s">
        <v>570</v>
      </c>
      <c r="AV1" s="66" t="s">
        <v>571</v>
      </c>
      <c r="AW1" s="66" t="s">
        <v>572</v>
      </c>
    </row>
    <row r="2" spans="1:49" x14ac:dyDescent="0.2">
      <c r="A2" s="2"/>
      <c r="B2" s="2" t="str">
        <f>IF('Input-EWEMs'!D12="","",IF(COUNTIF('Input-EWEMs'!C$52:C$61,'Input-EWEMs'!C12)&lt;1,'Lender Validation'!B44,"No"))</f>
        <v>Yes</v>
      </c>
      <c r="C2" s="2">
        <f>IF('Input-EWEMs'!$D12="", "", 'Input-EWEMs'!C12)</f>
        <v>1</v>
      </c>
      <c r="D2" s="2" t="str">
        <f>IF('Input-EWEMs'!$D12="", "", 'Input-EWEMs'!D12)</f>
        <v>Heating ventilating and air conditioning</v>
      </c>
      <c r="E2" s="2" t="str">
        <f>IF('Input-EWEMs'!$D12="", "", IFERROR(INDEX('Reference-MeasureList'!$Q$7:$Q$10,MATCH('Input-EWEMs'!E12,'Reference-MeasureList'!$P$7:$P$10,0)),'Input-EWEMs'!E12))</f>
        <v>Install smart thermostats</v>
      </c>
      <c r="F2" s="2" t="str">
        <f>IF('Input-EWEMs'!$D12="", "", 'Input-EWEMs'!F12)</f>
        <v>Install 129 ENERGY STAR-certified smart thermostats in apartments. Install one thermostat in the living room of each apartment unit.</v>
      </c>
      <c r="G2" s="2" t="str">
        <f>IF('Input-EWEMs'!$D12="", "", 'Input-EWEMs'!G12)</f>
        <v>Apartments</v>
      </c>
      <c r="H2" s="2">
        <f>IF('Input-EWEMs'!$H12="", "", 'Input-EWEMs'!H12)</f>
        <v>129</v>
      </c>
      <c r="I2" s="2">
        <f>IF('Input-EWEMs'!$I12="", "", 'Input-EWEMs'!I12)</f>
        <v>129</v>
      </c>
      <c r="J2" s="2">
        <f>IF('Input-EWEMs'!$I12="", "", I2/'DB-Properties'!$K$2)</f>
        <v>1</v>
      </c>
      <c r="K2" s="2">
        <f>IF('Input-EWEMs'!$D12="", "",ROUND('Input-EWEMs'!M12,0))</f>
        <v>44080</v>
      </c>
      <c r="L2" s="2">
        <f>IF('Input-EWEMs'!$D12="", "",SUM(O2,R2))</f>
        <v>7612</v>
      </c>
      <c r="M2" s="2">
        <f>IF('Input-EWEMs'!$D12="", "",ROUND('Input-EWEMs'!N12,0))</f>
        <v>7612</v>
      </c>
      <c r="N2" s="2">
        <f>IF('Input-EWEMs'!$D12="", "",ROUND('Input-EWEMs'!O12,0))</f>
        <v>0</v>
      </c>
      <c r="O2" s="2">
        <f>IF('Input-EWEMs'!$D12="", "",ROUND('Input-EWEMs'!P12,0))</f>
        <v>7612</v>
      </c>
      <c r="P2" s="2">
        <f>IF('Input-EWEMs'!$D12="", "",ROUND('Input-EWEMs'!Q12,0))</f>
        <v>0</v>
      </c>
      <c r="Q2" s="2">
        <f>IF('Input-EWEMs'!$D12="", "",ROUND('Input-EWEMs'!R12,0))</f>
        <v>0</v>
      </c>
      <c r="R2" s="2">
        <f>IF('Input-EWEMs'!$D12="", "",ROUND('Input-EWEMs'!S12,0))</f>
        <v>0</v>
      </c>
      <c r="S2" s="2">
        <f>IF('Input-EWEMs'!$D12="", "",'Input-EWEMs'!X12)</f>
        <v>239170.96400000001</v>
      </c>
      <c r="T2" s="2">
        <f>IF('Input-EWEMs'!$D12="", "",IFERROR(INDEX('Input-EWEMs'!$Y12:$Z12,MATCH("Natural Gas",'Input-EWEMs'!$Y$10:$Z$10,0)),0))</f>
        <v>19800</v>
      </c>
      <c r="U2" s="2">
        <f>IF('Input-EWEMs'!$D12="", "",IFERROR(INDEX('Input-EWEMs'!$Y12:$Z12,MATCH("Fuel Oil #2",'Input-EWEMs'!$Y$10:$Z$10,0)),0))</f>
        <v>0</v>
      </c>
      <c r="V2" s="2">
        <f>IF('Input-EWEMs'!$D12="", "",IFERROR(INDEX('Input-EWEMs'!$Y12:$Z12,MATCH("Fuel Oil #4",'Input-EWEMs'!$Y$10:$Z$10,0)),0))</f>
        <v>0</v>
      </c>
      <c r="W2" s="2">
        <f>IF('Input-EWEMs'!$D12="", "",IFERROR(INDEX('Input-EWEMs'!$Y12:$Z12,MATCH("Fuel Oil #6",'Input-EWEMs'!$Y$10:$Z$10,0)),0))</f>
        <v>0</v>
      </c>
      <c r="X2" s="2">
        <f>IF('Input-EWEMs'!$D12="", "",IFERROR(INDEX('Input-EWEMs'!$Y12:$Z12,MATCH("District Steam",'Input-EWEMs'!$Y$10:$Z$10,0)),0))</f>
        <v>0</v>
      </c>
      <c r="Y2" s="2">
        <f>IF('Input-EWEMs'!$D12="", "",IFERROR(INDEX('Input-EWEMs'!$Y12:$Z12,MATCH("Propane",'Input-EWEMs'!$Y$10:$Z$10,0)),0))</f>
        <v>0</v>
      </c>
      <c r="Z2" s="2">
        <f>IF('Input-EWEMs'!$D12="", "",IFERROR(INDEX('Input-EWEMs'!$Y12:$Z12,MATCH("District Hot Water",'Input-EWEMs'!$Y$10:$Z$10,0)),0))</f>
        <v>0</v>
      </c>
      <c r="AA2" s="2">
        <f>IF('Input-EWEMs'!$D12="", "",IFERROR(INDEX('Input-EWEMs'!$Y12:$Z12,MATCH("District Chilled Water",'Input-EWEMs'!$Y$10:$Z$10,0)),0))</f>
        <v>0</v>
      </c>
      <c r="AB2" s="2">
        <f>IF('Input-EWEMs'!$D12="", "",IFERROR(INDEX('Input-EWEMs'!$Y12:$Z12,MATCH("Other",'Input-EWEMs'!$Y$10:$Z$10,0)),0))</f>
        <v>0</v>
      </c>
      <c r="AC2" s="2">
        <f>IF('Input-EWEMs'!$D12="", "",'Input-EWEMs'!AA12)</f>
        <v>669678.69920000003</v>
      </c>
      <c r="AD2" s="2">
        <f>IF('Input-EWEMs'!$D12="", "",IFERROR(INDEX('Input-EWEMs'!$AB12:$AC12,MATCH("Natural Gas",'Input-EWEMs'!$AB$10:$AC$10,0)),0))</f>
        <v>20790</v>
      </c>
      <c r="AE2" s="2">
        <f>IF('Input-EWEMs'!$D12="", "",IFERROR(INDEX('Input-EWEMs'!$AB12:$AC12,MATCH("Fuel Oil #2",'Input-EWEMs'!$AB$10:$AC$10,0)),0))</f>
        <v>0</v>
      </c>
      <c r="AF2" s="2">
        <f>IF('Input-EWEMs'!$D12="", "",IFERROR(INDEX('Input-EWEMs'!$AB12:$AC12,MATCH("Fuel Oil #4",'Input-EWEMs'!$AB$10:$AC$10,0)),0))</f>
        <v>0</v>
      </c>
      <c r="AG2" s="2">
        <f>IF('Input-EWEMs'!$D12="", "",IFERROR(INDEX('Input-EWEMs'!$AB12:$AC12,MATCH("Fuel Oil #6",'Input-EWEMs'!$AB$10:$AC$10,0)),0))</f>
        <v>0</v>
      </c>
      <c r="AH2" s="2">
        <f>IF('Input-EWEMs'!$D12="", "",IFERROR(INDEX('Input-EWEMs'!$AB12:$AC12,MATCH("District Steam",'Input-EWEMs'!$AB$10:$AC$10,0)),0))</f>
        <v>0</v>
      </c>
      <c r="AI2" s="2">
        <f>IF('Input-EWEMs'!$D12="", "",IFERROR(INDEX('Input-EWEMs'!$AB12:$AC12,MATCH("Propane",'Input-EWEMs'!$AB$10:$AC$10,0)),0))</f>
        <v>0</v>
      </c>
      <c r="AJ2" s="2">
        <f>IF('Input-EWEMs'!$D12="", "",IFERROR(INDEX('Input-EWEMs'!$AB12:$AC12,MATCH("District Hot Water",'Input-EWEMs'!$AB$10:$AC$10,0)),0))</f>
        <v>0</v>
      </c>
      <c r="AK2" s="2">
        <f>IF('Input-EWEMs'!$D12="", "",IFERROR(INDEX('Input-EWEMs'!$AB12:$AC12,MATCH("District Chilled Water",'Input-EWEMs'!$AB$10:$AC$10,0)),0))</f>
        <v>0</v>
      </c>
      <c r="AL2" s="2">
        <f>IF('Input-EWEMs'!$D12="", "",IFERROR(INDEX('Input-EWEMs'!$AB12:$AC12,MATCH("Other",'Input-EWEMs'!$AB$10:$AC$10,0)),0))</f>
        <v>0</v>
      </c>
      <c r="AM2" s="2">
        <f>IF('Input-EWEMs'!$D12="", "",SUM(S2:AB2))</f>
        <v>258970.96400000001</v>
      </c>
      <c r="AN2" s="2">
        <f>IF('Input-EWEMs'!$D12="", "",SUM(AC2:AL2))</f>
        <v>690468.69920000003</v>
      </c>
      <c r="AO2" s="2">
        <f>IF('Input-EWEMs'!$D12="", "",'Input-EWEMs'!AF12)</f>
        <v>0</v>
      </c>
      <c r="AP2" s="2">
        <f>IF('Input-EWEMs'!$D12="", "",'Input-EWEMs'!AH12)</f>
        <v>3.0528780967432192E-2</v>
      </c>
      <c r="AQ2" s="2">
        <f>IF('Input-EWEMs'!$D12="", "",IFERROR(AN2/SUM('DB-Utilities'!$M$2:$M$4),""))</f>
        <v>3.4652958515103686E-2</v>
      </c>
      <c r="AR2" s="2">
        <f>IF('Input-EWEMs'!$D12="", "",'Input-EWEMs'!AJ12)</f>
        <v>0</v>
      </c>
      <c r="AS2" s="2">
        <f>IF('Input-EWEMs'!$D12="", "",'Input-EWEMs'!AK12)</f>
        <v>10</v>
      </c>
      <c r="AT2" s="2">
        <f t="shared" ref="AT2:AT21" si="0">IFERROR(L2*AS2,"")</f>
        <v>76120</v>
      </c>
      <c r="AU2" s="2">
        <f>IF('Input-EWEMs'!$D12="", "",IFERROR('Input-EWEMs'!T12*INDEX(Assumptions!$H$6:$H$17,MATCH('Input-EWEMs'!T$11,Assumptions!$C$6:$C$17,0)),0)+IFERROR('Input-EWEMs'!U12*INDEX(Assumptions!$H$6:$H$17,MATCH('Input-EWEMs'!U$11,Assumptions!$C$6:$C$17,0)),0)+IFERROR('Input-EWEMs'!V12*INDEX(Assumptions!$H$6:$H$17,MATCH('Input-EWEMs'!V$11,Assumptions!$C$6:$C$17,0)),0))</f>
        <v>59976.588430237935</v>
      </c>
      <c r="AV2" s="2">
        <f>IF('Input-EWEMs'!$D12="", "",ROUND('Input-EWEMs'!K12,0))</f>
        <v>41080</v>
      </c>
      <c r="AW2" s="2">
        <f>IF('Input-EWEMs'!$D12="", "",ROUND('Input-EWEMs'!L12,0))</f>
        <v>3000</v>
      </c>
    </row>
    <row r="3" spans="1:49" x14ac:dyDescent="0.2">
      <c r="A3" s="2"/>
      <c r="B3" s="2" t="str">
        <f>IF('Input-EWEMs'!D13="","",IF(COUNTIF('Input-EWEMs'!C$52:C$61,'Input-EWEMs'!C13)&lt;1,'Lender Validation'!B45,"No"))</f>
        <v>Yes</v>
      </c>
      <c r="C3" s="2">
        <f>IF('Input-EWEMs'!$D13="", "", 'Input-EWEMs'!C13)</f>
        <v>2</v>
      </c>
      <c r="D3" s="2" t="str">
        <f>IF('Input-EWEMs'!$D13="", "", 'Input-EWEMs'!D13)</f>
        <v>Heating ventilating and air conditioning</v>
      </c>
      <c r="E3" s="2" t="str">
        <f>IF('Input-EWEMs'!$D13="", "", IFERROR(INDEX('Reference-MeasureList'!$Q$7:$Q$10,MATCH('Input-EWEMs'!E13,'Reference-MeasureList'!$P$7:$P$10,0)),'Input-EWEMs'!E13))</f>
        <v>Replace wall/window AC</v>
      </c>
      <c r="F3" s="2" t="str">
        <f>IF('Input-EWEMs'!$D13="", "", 'Input-EWEMs'!F13)</f>
        <v>Install high efficiency heat pumps (10 HSPF, 16 SEER) in apartments to replace existing furnaces and AC units. Equipment must be ENERGY STAR-certified.</v>
      </c>
      <c r="G3" s="2" t="str">
        <f>IF('Input-EWEMs'!$D13="", "", 'Input-EWEMs'!G13)</f>
        <v>Apartments</v>
      </c>
      <c r="H3" s="2">
        <f>IF('Input-EWEMs'!$H13="", "", 'Input-EWEMs'!H13)</f>
        <v>129</v>
      </c>
      <c r="I3" s="2">
        <f>IF('Input-EWEMs'!$I13="", "", 'Input-EWEMs'!I13)</f>
        <v>129</v>
      </c>
      <c r="J3" s="2">
        <f>IF('Input-EWEMs'!$I13="", "", I3/'DB-Properties'!$K$2)</f>
        <v>1</v>
      </c>
      <c r="K3" s="2">
        <f>IF('Input-EWEMs'!$D13="", "",ROUND('Input-EWEMs'!M13,0))</f>
        <v>608000</v>
      </c>
      <c r="L3" s="2">
        <f>IF('Input-EWEMs'!$D13="", "",SUM(O3,R3))</f>
        <v>11513</v>
      </c>
      <c r="M3" s="2">
        <f>IF('Input-EWEMs'!$D13="", "",ROUND('Input-EWEMs'!N13,0))</f>
        <v>11513</v>
      </c>
      <c r="N3" s="2">
        <f>IF('Input-EWEMs'!$D13="", "",ROUND('Input-EWEMs'!O13,0))</f>
        <v>0</v>
      </c>
      <c r="O3" s="2">
        <f>IF('Input-EWEMs'!$D13="", "",ROUND('Input-EWEMs'!P13,0))</f>
        <v>11513</v>
      </c>
      <c r="P3" s="2">
        <f>IF('Input-EWEMs'!$D13="", "",ROUND('Input-EWEMs'!Q13,0))</f>
        <v>0</v>
      </c>
      <c r="Q3" s="2">
        <f>IF('Input-EWEMs'!$D13="", "",ROUND('Input-EWEMs'!R13,0))</f>
        <v>0</v>
      </c>
      <c r="R3" s="2">
        <f>IF('Input-EWEMs'!$D13="", "",ROUND('Input-EWEMs'!S13,0))</f>
        <v>0</v>
      </c>
      <c r="S3" s="2">
        <f>IF('Input-EWEMs'!$D13="", "",'Input-EWEMs'!X13)</f>
        <v>281797.08</v>
      </c>
      <c r="T3" s="2">
        <f>IF('Input-EWEMs'!$D13="", "",IFERROR(INDEX('Input-EWEMs'!$Y13:$Z13,MATCH("Natural Gas",'Input-EWEMs'!$Y$10:$Z$10,0)),0))</f>
        <v>218700</v>
      </c>
      <c r="U3" s="2">
        <f>IF('Input-EWEMs'!$D13="", "",IFERROR(INDEX('Input-EWEMs'!$Y13:$Z13,MATCH("Fuel Oil #2",'Input-EWEMs'!$Y$10:$Z$10,0)),0))</f>
        <v>0</v>
      </c>
      <c r="V3" s="2">
        <f>IF('Input-EWEMs'!$D13="", "",IFERROR(INDEX('Input-EWEMs'!$Y13:$Z13,MATCH("Fuel Oil #4",'Input-EWEMs'!$Y$10:$Z$10,0)),0))</f>
        <v>0</v>
      </c>
      <c r="W3" s="2">
        <f>IF('Input-EWEMs'!$D13="", "",IFERROR(INDEX('Input-EWEMs'!$Y13:$Z13,MATCH("Fuel Oil #6",'Input-EWEMs'!$Y$10:$Z$10,0)),0))</f>
        <v>0</v>
      </c>
      <c r="X3" s="2">
        <f>IF('Input-EWEMs'!$D13="", "",IFERROR(INDEX('Input-EWEMs'!$Y13:$Z13,MATCH("District Steam",'Input-EWEMs'!$Y$10:$Z$10,0)),0))</f>
        <v>0</v>
      </c>
      <c r="Y3" s="2">
        <f>IF('Input-EWEMs'!$D13="", "",IFERROR(INDEX('Input-EWEMs'!$Y13:$Z13,MATCH("Propane",'Input-EWEMs'!$Y$10:$Z$10,0)),0))</f>
        <v>0</v>
      </c>
      <c r="Z3" s="2">
        <f>IF('Input-EWEMs'!$D13="", "",IFERROR(INDEX('Input-EWEMs'!$Y13:$Z13,MATCH("District Hot Water",'Input-EWEMs'!$Y$10:$Z$10,0)),0))</f>
        <v>0</v>
      </c>
      <c r="AA3" s="2">
        <f>IF('Input-EWEMs'!$D13="", "",IFERROR(INDEX('Input-EWEMs'!$Y13:$Z13,MATCH("District Chilled Water",'Input-EWEMs'!$Y$10:$Z$10,0)),0))</f>
        <v>0</v>
      </c>
      <c r="AB3" s="2">
        <f>IF('Input-EWEMs'!$D13="", "",IFERROR(INDEX('Input-EWEMs'!$Y13:$Z13,MATCH("Other",'Input-EWEMs'!$Y$10:$Z$10,0)),0))</f>
        <v>0</v>
      </c>
      <c r="AC3" s="2">
        <f>IF('Input-EWEMs'!$D13="", "",'Input-EWEMs'!AA13)</f>
        <v>789031.82400000002</v>
      </c>
      <c r="AD3" s="2">
        <f>IF('Input-EWEMs'!$D13="", "",IFERROR(INDEX('Input-EWEMs'!$AB13:$AC13,MATCH("Natural Gas",'Input-EWEMs'!$AB$10:$AC$10,0)),0))</f>
        <v>229635</v>
      </c>
      <c r="AE3" s="2">
        <f>IF('Input-EWEMs'!$D13="", "",IFERROR(INDEX('Input-EWEMs'!$AB13:$AC13,MATCH("Fuel Oil #2",'Input-EWEMs'!$AB$10:$AC$10,0)),0))</f>
        <v>0</v>
      </c>
      <c r="AF3" s="2">
        <f>IF('Input-EWEMs'!$D13="", "",IFERROR(INDEX('Input-EWEMs'!$AB13:$AC13,MATCH("Fuel Oil #4",'Input-EWEMs'!$AB$10:$AC$10,0)),0))</f>
        <v>0</v>
      </c>
      <c r="AG3" s="2">
        <f>IF('Input-EWEMs'!$D13="", "",IFERROR(INDEX('Input-EWEMs'!$AB13:$AC13,MATCH("Fuel Oil #6",'Input-EWEMs'!$AB$10:$AC$10,0)),0))</f>
        <v>0</v>
      </c>
      <c r="AH3" s="2">
        <f>IF('Input-EWEMs'!$D13="", "",IFERROR(INDEX('Input-EWEMs'!$AB13:$AC13,MATCH("District Steam",'Input-EWEMs'!$AB$10:$AC$10,0)),0))</f>
        <v>0</v>
      </c>
      <c r="AI3" s="2">
        <f>IF('Input-EWEMs'!$D13="", "",IFERROR(INDEX('Input-EWEMs'!$AB13:$AC13,MATCH("Propane",'Input-EWEMs'!$AB$10:$AC$10,0)),0))</f>
        <v>0</v>
      </c>
      <c r="AJ3" s="2">
        <f>IF('Input-EWEMs'!$D13="", "",IFERROR(INDEX('Input-EWEMs'!$AB13:$AC13,MATCH("District Hot Water",'Input-EWEMs'!$AB$10:$AC$10,0)),0))</f>
        <v>0</v>
      </c>
      <c r="AK3" s="2">
        <f>IF('Input-EWEMs'!$D13="", "",IFERROR(INDEX('Input-EWEMs'!$AB13:$AC13,MATCH("District Chilled Water",'Input-EWEMs'!$AB$10:$AC$10,0)),0))</f>
        <v>0</v>
      </c>
      <c r="AL3" s="2">
        <f>IF('Input-EWEMs'!$D13="", "",IFERROR(INDEX('Input-EWEMs'!$AB13:$AC13,MATCH("Other",'Input-EWEMs'!$AB$10:$AC$10,0)),0))</f>
        <v>0</v>
      </c>
      <c r="AM3" s="2">
        <f>IF('Input-EWEMs'!$D13="", "",SUM(S3:AB3))</f>
        <v>500497.08</v>
      </c>
      <c r="AN3" s="2">
        <f>IF('Input-EWEMs'!$D13="", "",SUM(AC3:AL3))</f>
        <v>1018666.824</v>
      </c>
      <c r="AO3" s="2">
        <f>IF('Input-EWEMs'!$D13="", "",'Input-EWEMs'!AF13)</f>
        <v>0</v>
      </c>
      <c r="AP3" s="2">
        <f>IF('Input-EWEMs'!$D13="", "",'Input-EWEMs'!AH13)</f>
        <v>5.9001076777701562E-2</v>
      </c>
      <c r="AQ3" s="2">
        <f>IF('Input-EWEMs'!$D13="", "",IFERROR(AN3/SUM('DB-Utilities'!$M$2:$M$4),""))</f>
        <v>5.1124430743470298E-2</v>
      </c>
      <c r="AR3" s="2">
        <f>IF('Input-EWEMs'!$D13="", "",'Input-EWEMs'!AJ13)</f>
        <v>0</v>
      </c>
      <c r="AS3" s="2">
        <f>IF('Input-EWEMs'!$D13="", "",'Input-EWEMs'!AK13)</f>
        <v>10</v>
      </c>
      <c r="AT3" s="2">
        <f t="shared" si="0"/>
        <v>115130</v>
      </c>
      <c r="AU3" s="2">
        <f>IF('Input-EWEMs'!$D13="", "",IFERROR('Input-EWEMs'!T13*INDEX(Assumptions!$H$6:$H$17,MATCH('Input-EWEMs'!T$11,Assumptions!$C$6:$C$17,0)),0)+IFERROR('Input-EWEMs'!U13*INDEX(Assumptions!$H$6:$H$17,MATCH('Input-EWEMs'!U$11,Assumptions!$C$6:$C$17,0)),0)+IFERROR('Input-EWEMs'!V13*INDEX(Assumptions!$H$6:$H$17,MATCH('Input-EWEMs'!V$11,Assumptions!$C$6:$C$17,0)),0))</f>
        <v>93541.405166094119</v>
      </c>
      <c r="AV3" s="2">
        <f>IF('Input-EWEMs'!$D13="", "",ROUND('Input-EWEMs'!K13,0))</f>
        <v>600000</v>
      </c>
      <c r="AW3" s="2">
        <f>IF('Input-EWEMs'!$D13="", "",ROUND('Input-EWEMs'!L13,0))</f>
        <v>8000</v>
      </c>
    </row>
    <row r="4" spans="1:49" x14ac:dyDescent="0.2">
      <c r="A4" s="2"/>
      <c r="B4" s="2" t="str">
        <f>IF('Input-EWEMs'!D14="","",IF(COUNTIF('Input-EWEMs'!C$52:C$61,'Input-EWEMs'!C14)&lt;1,'Lender Validation'!B46,"No"))</f>
        <v>No</v>
      </c>
      <c r="C4" s="2">
        <f>IF('Input-EWEMs'!$D14="", "", 'Input-EWEMs'!C14)</f>
        <v>3</v>
      </c>
      <c r="D4" s="2" t="str">
        <f>IF('Input-EWEMs'!$D14="", "", 'Input-EWEMs'!D14)</f>
        <v>Water and steam distribution</v>
      </c>
      <c r="E4" s="2" t="str">
        <f>IF('Input-EWEMs'!$D14="", "", IFERROR(INDEX('Reference-MeasureList'!$Q$7:$Q$10,MATCH('Input-EWEMs'!E14,'Reference-MeasureList'!$P$7:$P$10,0)),'Input-EWEMs'!E14))</f>
        <v>Add pipe insulation</v>
      </c>
      <c r="F4" s="2" t="str">
        <f>IF('Input-EWEMs'!$D14="", "", 'Input-EWEMs'!F14)</f>
        <v>Insulate all exposed hot water piping located in the basement mechanical rooms, using foam insulation with an R-value of 3 or above.</v>
      </c>
      <c r="G4" s="2" t="str">
        <f>IF('Input-EWEMs'!$D14="", "", 'Input-EWEMs'!G14)</f>
        <v>Common area</v>
      </c>
      <c r="H4" s="2" t="str">
        <f>IF('Input-EWEMs'!$H14="", "", 'Input-EWEMs'!H14)</f>
        <v/>
      </c>
      <c r="I4" s="2">
        <f>IF('Input-EWEMs'!$I14="", "", 'Input-EWEMs'!I14)</f>
        <v>0</v>
      </c>
      <c r="J4" s="2">
        <f>IF('Input-EWEMs'!$I14="", "", I4/'DB-Properties'!$K$2)</f>
        <v>0</v>
      </c>
      <c r="K4" s="2">
        <f>IF('Input-EWEMs'!$D14="", "",ROUND('Input-EWEMs'!M14,0))</f>
        <v>3750</v>
      </c>
      <c r="L4" s="2">
        <f>IF('Input-EWEMs'!$D14="", "",SUM(O4,R4))</f>
        <v>1337</v>
      </c>
      <c r="M4" s="2">
        <f>IF('Input-EWEMs'!$D14="", "",ROUND('Input-EWEMs'!N14,0))</f>
        <v>1337</v>
      </c>
      <c r="N4" s="2">
        <f>IF('Input-EWEMs'!$D14="", "",ROUND('Input-EWEMs'!O14,0))</f>
        <v>0</v>
      </c>
      <c r="O4" s="2">
        <f>IF('Input-EWEMs'!$D14="", "",ROUND('Input-EWEMs'!P14,0))</f>
        <v>1337</v>
      </c>
      <c r="P4" s="2">
        <f>IF('Input-EWEMs'!$D14="", "",ROUND('Input-EWEMs'!Q14,0))</f>
        <v>0</v>
      </c>
      <c r="Q4" s="2">
        <f>IF('Input-EWEMs'!$D14="", "",ROUND('Input-EWEMs'!R14,0))</f>
        <v>0</v>
      </c>
      <c r="R4" s="2">
        <f>IF('Input-EWEMs'!$D14="", "",ROUND('Input-EWEMs'!S14,0))</f>
        <v>0</v>
      </c>
      <c r="S4" s="2">
        <f>IF('Input-EWEMs'!$D14="", "",'Input-EWEMs'!X14)</f>
        <v>0</v>
      </c>
      <c r="T4" s="2">
        <f>IF('Input-EWEMs'!$D14="", "",IFERROR(INDEX('Input-EWEMs'!$Y14:$Z14,MATCH("Natural Gas",'Input-EWEMs'!$Y$10:$Z$10,0)),0))</f>
        <v>102700</v>
      </c>
      <c r="U4" s="2">
        <f>IF('Input-EWEMs'!$D14="", "",IFERROR(INDEX('Input-EWEMs'!$Y14:$Z14,MATCH("Fuel Oil #2",'Input-EWEMs'!$Y$10:$Z$10,0)),0))</f>
        <v>0</v>
      </c>
      <c r="V4" s="2">
        <f>IF('Input-EWEMs'!$D14="", "",IFERROR(INDEX('Input-EWEMs'!$Y14:$Z14,MATCH("Fuel Oil #4",'Input-EWEMs'!$Y$10:$Z$10,0)),0))</f>
        <v>0</v>
      </c>
      <c r="W4" s="2">
        <f>IF('Input-EWEMs'!$D14="", "",IFERROR(INDEX('Input-EWEMs'!$Y14:$Z14,MATCH("Fuel Oil #6",'Input-EWEMs'!$Y$10:$Z$10,0)),0))</f>
        <v>0</v>
      </c>
      <c r="X4" s="2">
        <f>IF('Input-EWEMs'!$D14="", "",IFERROR(INDEX('Input-EWEMs'!$Y14:$Z14,MATCH("District Steam",'Input-EWEMs'!$Y$10:$Z$10,0)),0))</f>
        <v>0</v>
      </c>
      <c r="Y4" s="2">
        <f>IF('Input-EWEMs'!$D14="", "",IFERROR(INDEX('Input-EWEMs'!$Y14:$Z14,MATCH("Propane",'Input-EWEMs'!$Y$10:$Z$10,0)),0))</f>
        <v>0</v>
      </c>
      <c r="Z4" s="2">
        <f>IF('Input-EWEMs'!$D14="", "",IFERROR(INDEX('Input-EWEMs'!$Y14:$Z14,MATCH("District Hot Water",'Input-EWEMs'!$Y$10:$Z$10,0)),0))</f>
        <v>0</v>
      </c>
      <c r="AA4" s="2">
        <f>IF('Input-EWEMs'!$D14="", "",IFERROR(INDEX('Input-EWEMs'!$Y14:$Z14,MATCH("District Chilled Water",'Input-EWEMs'!$Y$10:$Z$10,0)),0))</f>
        <v>0</v>
      </c>
      <c r="AB4" s="2">
        <f>IF('Input-EWEMs'!$D14="", "",IFERROR(INDEX('Input-EWEMs'!$Y14:$Z14,MATCH("Other",'Input-EWEMs'!$Y$10:$Z$10,0)),0))</f>
        <v>0</v>
      </c>
      <c r="AC4" s="2">
        <f>IF('Input-EWEMs'!$D14="", "",'Input-EWEMs'!AA14)</f>
        <v>0</v>
      </c>
      <c r="AD4" s="2">
        <f>IF('Input-EWEMs'!$D14="", "",IFERROR(INDEX('Input-EWEMs'!$AB14:$AC14,MATCH("Natural Gas",'Input-EWEMs'!$AB$10:$AC$10,0)),0))</f>
        <v>107835</v>
      </c>
      <c r="AE4" s="2">
        <f>IF('Input-EWEMs'!$D14="", "",IFERROR(INDEX('Input-EWEMs'!$AB14:$AC14,MATCH("Fuel Oil #2",'Input-EWEMs'!$AB$10:$AC$10,0)),0))</f>
        <v>0</v>
      </c>
      <c r="AF4" s="2">
        <f>IF('Input-EWEMs'!$D14="", "",IFERROR(INDEX('Input-EWEMs'!$AB14:$AC14,MATCH("Fuel Oil #4",'Input-EWEMs'!$AB$10:$AC$10,0)),0))</f>
        <v>0</v>
      </c>
      <c r="AG4" s="2">
        <f>IF('Input-EWEMs'!$D14="", "",IFERROR(INDEX('Input-EWEMs'!$AB14:$AC14,MATCH("Fuel Oil #6",'Input-EWEMs'!$AB$10:$AC$10,0)),0))</f>
        <v>0</v>
      </c>
      <c r="AH4" s="2">
        <f>IF('Input-EWEMs'!$D14="", "",IFERROR(INDEX('Input-EWEMs'!$AB14:$AC14,MATCH("District Steam",'Input-EWEMs'!$AB$10:$AC$10,0)),0))</f>
        <v>0</v>
      </c>
      <c r="AI4" s="2">
        <f>IF('Input-EWEMs'!$D14="", "",IFERROR(INDEX('Input-EWEMs'!$AB14:$AC14,MATCH("Propane",'Input-EWEMs'!$AB$10:$AC$10,0)),0))</f>
        <v>0</v>
      </c>
      <c r="AJ4" s="2">
        <f>IF('Input-EWEMs'!$D14="", "",IFERROR(INDEX('Input-EWEMs'!$AB14:$AC14,MATCH("District Hot Water",'Input-EWEMs'!$AB$10:$AC$10,0)),0))</f>
        <v>0</v>
      </c>
      <c r="AK4" s="2">
        <f>IF('Input-EWEMs'!$D14="", "",IFERROR(INDEX('Input-EWEMs'!$AB14:$AC14,MATCH("District Chilled Water",'Input-EWEMs'!$AB$10:$AC$10,0)),0))</f>
        <v>0</v>
      </c>
      <c r="AL4" s="2">
        <f>IF('Input-EWEMs'!$D14="", "",IFERROR(INDEX('Input-EWEMs'!$AB14:$AC14,MATCH("Other",'Input-EWEMs'!$AB$10:$AC$10,0)),0))</f>
        <v>0</v>
      </c>
      <c r="AM4" s="2">
        <f>IF('Input-EWEMs'!$D14="", "",SUM(S4:AB4))</f>
        <v>102700</v>
      </c>
      <c r="AN4" s="2">
        <f>IF('Input-EWEMs'!$D14="", "",SUM(AC4:AL4))</f>
        <v>107835</v>
      </c>
      <c r="AO4" s="2">
        <f>IF('Input-EWEMs'!$D14="", "",'Input-EWEMs'!AF14)</f>
        <v>0</v>
      </c>
      <c r="AP4" s="2">
        <f>IF('Input-EWEMs'!$D14="", "",'Input-EWEMs'!AH14)</f>
        <v>1.2106785088676143E-2</v>
      </c>
      <c r="AQ4" s="2">
        <f>IF('Input-EWEMs'!$D14="", "",IFERROR(AN4/SUM('DB-Utilities'!$M$2:$M$4),""))</f>
        <v>5.4119785383548724E-3</v>
      </c>
      <c r="AR4" s="2">
        <f>IF('Input-EWEMs'!$D14="", "",'Input-EWEMs'!AJ14)</f>
        <v>0</v>
      </c>
      <c r="AS4" s="2">
        <f>IF('Input-EWEMs'!$D14="", "",'Input-EWEMs'!AK14)</f>
        <v>10</v>
      </c>
      <c r="AT4" s="2">
        <f t="shared" si="0"/>
        <v>13370</v>
      </c>
      <c r="AU4" s="2">
        <f>IF('Input-EWEMs'!$D14="", "",IFERROR('Input-EWEMs'!T14*INDEX(Assumptions!$H$6:$H$17,MATCH('Input-EWEMs'!T$11,Assumptions!$C$6:$C$17,0)),0)+IFERROR('Input-EWEMs'!U14*INDEX(Assumptions!$H$6:$H$17,MATCH('Input-EWEMs'!U$11,Assumptions!$C$6:$C$17,0)),0)+IFERROR('Input-EWEMs'!V14*INDEX(Assumptions!$H$6:$H$17,MATCH('Input-EWEMs'!V$11,Assumptions!$C$6:$C$17,0)),0))</f>
        <v>12024.887004660139</v>
      </c>
      <c r="AV4" s="2">
        <f>IF('Input-EWEMs'!$D14="", "",ROUND('Input-EWEMs'!K14,0))</f>
        <v>2250</v>
      </c>
      <c r="AW4" s="2">
        <f>IF('Input-EWEMs'!$D14="", "",ROUND('Input-EWEMs'!L14,0))</f>
        <v>1500</v>
      </c>
    </row>
    <row r="5" spans="1:49" x14ac:dyDescent="0.2">
      <c r="A5" s="2"/>
      <c r="B5" s="2" t="str">
        <f>IF('Input-EWEMs'!D15="","",IF(COUNTIF('Input-EWEMs'!C$52:C$61,'Input-EWEMs'!C15)&lt;1,'Lender Validation'!B47,"No"))</f>
        <v>Yes</v>
      </c>
      <c r="C5" s="2">
        <f>IF('Input-EWEMs'!$D15="", "", 'Input-EWEMs'!C15)</f>
        <v>4</v>
      </c>
      <c r="D5" s="2" t="str">
        <f>IF('Input-EWEMs'!$D15="", "", 'Input-EWEMs'!D15)</f>
        <v>Lighting</v>
      </c>
      <c r="E5" s="2" t="str">
        <f>IF('Input-EWEMs'!$D15="", "", IFERROR(INDEX('Reference-MeasureList'!$Q$7:$Q$10,MATCH('Input-EWEMs'!E15,'Reference-MeasureList'!$P$7:$P$10,0)),'Input-EWEMs'!E15))</f>
        <v>Upgrade in-unit lighting</v>
      </c>
      <c r="F5" s="2" t="str">
        <f>IF('Input-EWEMs'!$D15="", "", 'Input-EWEMs'!F15)</f>
        <v xml:space="preserve">Upgrade non-LED lighting in all apartments to LED. Refer to HPB report for replacement lighting specifications. </v>
      </c>
      <c r="G5" s="2" t="str">
        <f>IF('Input-EWEMs'!$D15="", "", 'Input-EWEMs'!G15)</f>
        <v>Apartments</v>
      </c>
      <c r="H5" s="2">
        <f>IF('Input-EWEMs'!$H15="", "", 'Input-EWEMs'!H15)</f>
        <v>500</v>
      </c>
      <c r="I5" s="2">
        <f>IF('Input-EWEMs'!$I15="", "", 'Input-EWEMs'!I15)</f>
        <v>129</v>
      </c>
      <c r="J5" s="2">
        <f>IF('Input-EWEMs'!$I15="", "", I5/'DB-Properties'!$K$2)</f>
        <v>1</v>
      </c>
      <c r="K5" s="2">
        <f>IF('Input-EWEMs'!$D15="", "",ROUND('Input-EWEMs'!M15,0))</f>
        <v>49970</v>
      </c>
      <c r="L5" s="2">
        <f>IF('Input-EWEMs'!$D15="", "",SUM(O5,R5))</f>
        <v>11497</v>
      </c>
      <c r="M5" s="2">
        <f>IF('Input-EWEMs'!$D15="", "",ROUND('Input-EWEMs'!N15,0))</f>
        <v>11497</v>
      </c>
      <c r="N5" s="2">
        <f>IF('Input-EWEMs'!$D15="", "",ROUND('Input-EWEMs'!O15,0))</f>
        <v>0</v>
      </c>
      <c r="O5" s="2">
        <f>IF('Input-EWEMs'!$D15="", "",ROUND('Input-EWEMs'!P15,0))</f>
        <v>11497</v>
      </c>
      <c r="P5" s="2">
        <f>IF('Input-EWEMs'!$D15="", "",ROUND('Input-EWEMs'!Q15,0))</f>
        <v>0</v>
      </c>
      <c r="Q5" s="2">
        <f>IF('Input-EWEMs'!$D15="", "",ROUND('Input-EWEMs'!R15,0))</f>
        <v>0</v>
      </c>
      <c r="R5" s="2">
        <f>IF('Input-EWEMs'!$D15="", "",ROUND('Input-EWEMs'!S15,0))</f>
        <v>0</v>
      </c>
      <c r="S5" s="2">
        <f>IF('Input-EWEMs'!$D15="", "",'Input-EWEMs'!X15)</f>
        <v>373886.96</v>
      </c>
      <c r="T5" s="2">
        <f>IF('Input-EWEMs'!$D15="", "",IFERROR(INDEX('Input-EWEMs'!$Y15:$Z15,MATCH("Natural Gas",'Input-EWEMs'!$Y$10:$Z$10,0)),0))</f>
        <v>0</v>
      </c>
      <c r="U5" s="2">
        <f>IF('Input-EWEMs'!$D15="", "",IFERROR(INDEX('Input-EWEMs'!$Y15:$Z15,MATCH("Fuel Oil #2",'Input-EWEMs'!$Y$10:$Z$10,0)),0))</f>
        <v>0</v>
      </c>
      <c r="V5" s="2">
        <f>IF('Input-EWEMs'!$D15="", "",IFERROR(INDEX('Input-EWEMs'!$Y15:$Z15,MATCH("Fuel Oil #4",'Input-EWEMs'!$Y$10:$Z$10,0)),0))</f>
        <v>0</v>
      </c>
      <c r="W5" s="2">
        <f>IF('Input-EWEMs'!$D15="", "",IFERROR(INDEX('Input-EWEMs'!$Y15:$Z15,MATCH("Fuel Oil #6",'Input-EWEMs'!$Y$10:$Z$10,0)),0))</f>
        <v>0</v>
      </c>
      <c r="X5" s="2">
        <f>IF('Input-EWEMs'!$D15="", "",IFERROR(INDEX('Input-EWEMs'!$Y15:$Z15,MATCH("District Steam",'Input-EWEMs'!$Y$10:$Z$10,0)),0))</f>
        <v>0</v>
      </c>
      <c r="Y5" s="2">
        <f>IF('Input-EWEMs'!$D15="", "",IFERROR(INDEX('Input-EWEMs'!$Y15:$Z15,MATCH("Propane",'Input-EWEMs'!$Y$10:$Z$10,0)),0))</f>
        <v>0</v>
      </c>
      <c r="Z5" s="2">
        <f>IF('Input-EWEMs'!$D15="", "",IFERROR(INDEX('Input-EWEMs'!$Y15:$Z15,MATCH("District Hot Water",'Input-EWEMs'!$Y$10:$Z$10,0)),0))</f>
        <v>0</v>
      </c>
      <c r="AA5" s="2">
        <f>IF('Input-EWEMs'!$D15="", "",IFERROR(INDEX('Input-EWEMs'!$Y15:$Z15,MATCH("District Chilled Water",'Input-EWEMs'!$Y$10:$Z$10,0)),0))</f>
        <v>0</v>
      </c>
      <c r="AB5" s="2">
        <f>IF('Input-EWEMs'!$D15="", "",IFERROR(INDEX('Input-EWEMs'!$Y15:$Z15,MATCH("Other",'Input-EWEMs'!$Y$10:$Z$10,0)),0))</f>
        <v>0</v>
      </c>
      <c r="AC5" s="2">
        <f>IF('Input-EWEMs'!$D15="", "",'Input-EWEMs'!AA15)</f>
        <v>1046883.488</v>
      </c>
      <c r="AD5" s="2">
        <f>IF('Input-EWEMs'!$D15="", "",IFERROR(INDEX('Input-EWEMs'!$AB15:$AC15,MATCH("Natural Gas",'Input-EWEMs'!$AB$10:$AC$10,0)),0))</f>
        <v>0</v>
      </c>
      <c r="AE5" s="2">
        <f>IF('Input-EWEMs'!$D15="", "",IFERROR(INDEX('Input-EWEMs'!$AB15:$AC15,MATCH("Fuel Oil #2",'Input-EWEMs'!$AB$10:$AC$10,0)),0))</f>
        <v>0</v>
      </c>
      <c r="AF5" s="2">
        <f>IF('Input-EWEMs'!$D15="", "",IFERROR(INDEX('Input-EWEMs'!$AB15:$AC15,MATCH("Fuel Oil #4",'Input-EWEMs'!$AB$10:$AC$10,0)),0))</f>
        <v>0</v>
      </c>
      <c r="AG5" s="2">
        <f>IF('Input-EWEMs'!$D15="", "",IFERROR(INDEX('Input-EWEMs'!$AB15:$AC15,MATCH("Fuel Oil #6",'Input-EWEMs'!$AB$10:$AC$10,0)),0))</f>
        <v>0</v>
      </c>
      <c r="AH5" s="2">
        <f>IF('Input-EWEMs'!$D15="", "",IFERROR(INDEX('Input-EWEMs'!$AB15:$AC15,MATCH("District Steam",'Input-EWEMs'!$AB$10:$AC$10,0)),0))</f>
        <v>0</v>
      </c>
      <c r="AI5" s="2">
        <f>IF('Input-EWEMs'!$D15="", "",IFERROR(INDEX('Input-EWEMs'!$AB15:$AC15,MATCH("Propane",'Input-EWEMs'!$AB$10:$AC$10,0)),0))</f>
        <v>0</v>
      </c>
      <c r="AJ5" s="2">
        <f>IF('Input-EWEMs'!$D15="", "",IFERROR(INDEX('Input-EWEMs'!$AB15:$AC15,MATCH("District Hot Water",'Input-EWEMs'!$AB$10:$AC$10,0)),0))</f>
        <v>0</v>
      </c>
      <c r="AK5" s="2">
        <f>IF('Input-EWEMs'!$D15="", "",IFERROR(INDEX('Input-EWEMs'!$AB15:$AC15,MATCH("District Chilled Water",'Input-EWEMs'!$AB$10:$AC$10,0)),0))</f>
        <v>0</v>
      </c>
      <c r="AL5" s="2">
        <f>IF('Input-EWEMs'!$D15="", "",IFERROR(INDEX('Input-EWEMs'!$AB15:$AC15,MATCH("Other",'Input-EWEMs'!$AB$10:$AC$10,0)),0))</f>
        <v>0</v>
      </c>
      <c r="AM5" s="2">
        <f>IF('Input-EWEMs'!$D15="", "",SUM(S5:AB5))</f>
        <v>373886.96</v>
      </c>
      <c r="AN5" s="2">
        <f>IF('Input-EWEMs'!$D15="", "",SUM(AC5:AL5))</f>
        <v>1046883.488</v>
      </c>
      <c r="AO5" s="2">
        <f>IF('Input-EWEMs'!$D15="", "",'Input-EWEMs'!AF15)</f>
        <v>0</v>
      </c>
      <c r="AP5" s="2">
        <f>IF('Input-EWEMs'!$D15="", "",'Input-EWEMs'!AH15)</f>
        <v>4.4075648219848627E-2</v>
      </c>
      <c r="AQ5" s="2">
        <f>IF('Input-EWEMs'!$D15="", "",IFERROR(AN5/SUM('DB-Utilities'!$M$2:$M$4),""))</f>
        <v>5.2540557047471508E-2</v>
      </c>
      <c r="AR5" s="2">
        <f>IF('Input-EWEMs'!$D15="", "",'Input-EWEMs'!AJ15)</f>
        <v>0</v>
      </c>
      <c r="AS5" s="2">
        <f>IF('Input-EWEMs'!$D15="", "",'Input-EWEMs'!AK15)</f>
        <v>15</v>
      </c>
      <c r="AT5" s="2">
        <f t="shared" si="0"/>
        <v>172455</v>
      </c>
      <c r="AU5" s="2">
        <f>IF('Input-EWEMs'!$D15="", "",IFERROR('Input-EWEMs'!T15*INDEX(Assumptions!$H$6:$H$17,MATCH('Input-EWEMs'!T$11,Assumptions!$C$6:$C$17,0)),0)+IFERROR('Input-EWEMs'!U15*INDEX(Assumptions!$H$6:$H$17,MATCH('Input-EWEMs'!U$11,Assumptions!$C$6:$C$17,0)),0)+IFERROR('Input-EWEMs'!V15*INDEX(Assumptions!$H$6:$H$17,MATCH('Input-EWEMs'!V$11,Assumptions!$C$6:$C$17,0)),0))</f>
        <v>90134.979655223477</v>
      </c>
      <c r="AV5" s="2">
        <f>IF('Input-EWEMs'!$D15="", "",ROUND('Input-EWEMs'!K15,0))</f>
        <v>49000</v>
      </c>
      <c r="AW5" s="2">
        <f>IF('Input-EWEMs'!$D15="", "",ROUND('Input-EWEMs'!L15,0))</f>
        <v>970</v>
      </c>
    </row>
    <row r="6" spans="1:49" x14ac:dyDescent="0.2">
      <c r="A6" s="2"/>
      <c r="B6" s="2" t="str">
        <f>IF('Input-EWEMs'!D16="","",IF(COUNTIF('Input-EWEMs'!C$52:C$61,'Input-EWEMs'!C16)&lt;1,'Lender Validation'!B48,"No"))</f>
        <v>No</v>
      </c>
      <c r="C6" s="2">
        <f>IF('Input-EWEMs'!$D16="", "", 'Input-EWEMs'!C16)</f>
        <v>5</v>
      </c>
      <c r="D6" s="2" t="str">
        <f>IF('Input-EWEMs'!$D16="", "", 'Input-EWEMs'!D16)</f>
        <v>Lighting</v>
      </c>
      <c r="E6" s="2" t="str">
        <f>IF('Input-EWEMs'!$D16="", "", IFERROR(INDEX('Reference-MeasureList'!$Q$7:$Q$10,MATCH('Input-EWEMs'!E16,'Reference-MeasureList'!$P$7:$P$10,0)),'Input-EWEMs'!E16))</f>
        <v>Upgrade common area lighting</v>
      </c>
      <c r="F6" s="2" t="str">
        <f>IF('Input-EWEMs'!$D16="", "", 'Input-EWEMs'!F16)</f>
        <v xml:space="preserve">Upgrade all lighting in building common areas and exterior to LED. Refer to HPB report for replacement lighting specifications. </v>
      </c>
      <c r="G6" s="2" t="str">
        <f>IF('Input-EWEMs'!$D16="", "", 'Input-EWEMs'!G16)</f>
        <v>Common area</v>
      </c>
      <c r="H6" s="2">
        <f>IF('Input-EWEMs'!$H16="", "", 'Input-EWEMs'!H16)</f>
        <v>500</v>
      </c>
      <c r="I6" s="2">
        <f>IF('Input-EWEMs'!$I16="", "", 'Input-EWEMs'!I16)</f>
        <v>0</v>
      </c>
      <c r="J6" s="2">
        <f>IF('Input-EWEMs'!$I16="", "", I6/'DB-Properties'!$K$2)</f>
        <v>0</v>
      </c>
      <c r="K6" s="2">
        <f>IF('Input-EWEMs'!$D16="", "",ROUND('Input-EWEMs'!M16,0))</f>
        <v>40075</v>
      </c>
      <c r="L6" s="2">
        <f>IF('Input-EWEMs'!$D16="", "",SUM(O6,R6))</f>
        <v>5475</v>
      </c>
      <c r="M6" s="2">
        <f>IF('Input-EWEMs'!$D16="", "",ROUND('Input-EWEMs'!N16,0))</f>
        <v>5475</v>
      </c>
      <c r="N6" s="2">
        <f>IF('Input-EWEMs'!$D16="", "",ROUND('Input-EWEMs'!O16,0))</f>
        <v>0</v>
      </c>
      <c r="O6" s="2">
        <f>IF('Input-EWEMs'!$D16="", "",ROUND('Input-EWEMs'!P16,0))</f>
        <v>5475</v>
      </c>
      <c r="P6" s="2">
        <f>IF('Input-EWEMs'!$D16="", "",ROUND('Input-EWEMs'!Q16,0))</f>
        <v>0</v>
      </c>
      <c r="Q6" s="2">
        <f>IF('Input-EWEMs'!$D16="", "",ROUND('Input-EWEMs'!R16,0))</f>
        <v>0</v>
      </c>
      <c r="R6" s="2">
        <f>IF('Input-EWEMs'!$D16="", "",ROUND('Input-EWEMs'!S16,0))</f>
        <v>0</v>
      </c>
      <c r="S6" s="2">
        <f>IF('Input-EWEMs'!$D16="", "",'Input-EWEMs'!X16)</f>
        <v>178058.63200000001</v>
      </c>
      <c r="T6" s="2">
        <f>IF('Input-EWEMs'!$D16="", "",IFERROR(INDEX('Input-EWEMs'!$Y16:$Z16,MATCH("Natural Gas",'Input-EWEMs'!$Y$10:$Z$10,0)),0))</f>
        <v>0</v>
      </c>
      <c r="U6" s="2">
        <f>IF('Input-EWEMs'!$D16="", "",IFERROR(INDEX('Input-EWEMs'!$Y16:$Z16,MATCH("Fuel Oil #2",'Input-EWEMs'!$Y$10:$Z$10,0)),0))</f>
        <v>0</v>
      </c>
      <c r="V6" s="2">
        <f>IF('Input-EWEMs'!$D16="", "",IFERROR(INDEX('Input-EWEMs'!$Y16:$Z16,MATCH("Fuel Oil #4",'Input-EWEMs'!$Y$10:$Z$10,0)),0))</f>
        <v>0</v>
      </c>
      <c r="W6" s="2">
        <f>IF('Input-EWEMs'!$D16="", "",IFERROR(INDEX('Input-EWEMs'!$Y16:$Z16,MATCH("Fuel Oil #6",'Input-EWEMs'!$Y$10:$Z$10,0)),0))</f>
        <v>0</v>
      </c>
      <c r="X6" s="2">
        <f>IF('Input-EWEMs'!$D16="", "",IFERROR(INDEX('Input-EWEMs'!$Y16:$Z16,MATCH("District Steam",'Input-EWEMs'!$Y$10:$Z$10,0)),0))</f>
        <v>0</v>
      </c>
      <c r="Y6" s="2">
        <f>IF('Input-EWEMs'!$D16="", "",IFERROR(INDEX('Input-EWEMs'!$Y16:$Z16,MATCH("Propane",'Input-EWEMs'!$Y$10:$Z$10,0)),0))</f>
        <v>0</v>
      </c>
      <c r="Z6" s="2">
        <f>IF('Input-EWEMs'!$D16="", "",IFERROR(INDEX('Input-EWEMs'!$Y16:$Z16,MATCH("District Hot Water",'Input-EWEMs'!$Y$10:$Z$10,0)),0))</f>
        <v>0</v>
      </c>
      <c r="AA6" s="2">
        <f>IF('Input-EWEMs'!$D16="", "",IFERROR(INDEX('Input-EWEMs'!$Y16:$Z16,MATCH("District Chilled Water",'Input-EWEMs'!$Y$10:$Z$10,0)),0))</f>
        <v>0</v>
      </c>
      <c r="AB6" s="2">
        <f>IF('Input-EWEMs'!$D16="", "",IFERROR(INDEX('Input-EWEMs'!$Y16:$Z16,MATCH("Other",'Input-EWEMs'!$Y$10:$Z$10,0)),0))</f>
        <v>0</v>
      </c>
      <c r="AC6" s="2">
        <f>IF('Input-EWEMs'!$D16="", "",'Input-EWEMs'!AA16)</f>
        <v>498564.16960000002</v>
      </c>
      <c r="AD6" s="2">
        <f>IF('Input-EWEMs'!$D16="", "",IFERROR(INDEX('Input-EWEMs'!$AB16:$AC16,MATCH("Natural Gas",'Input-EWEMs'!$AB$10:$AC$10,0)),0))</f>
        <v>0</v>
      </c>
      <c r="AE6" s="2">
        <f>IF('Input-EWEMs'!$D16="", "",IFERROR(INDEX('Input-EWEMs'!$AB16:$AC16,MATCH("Fuel Oil #2",'Input-EWEMs'!$AB$10:$AC$10,0)),0))</f>
        <v>0</v>
      </c>
      <c r="AF6" s="2">
        <f>IF('Input-EWEMs'!$D16="", "",IFERROR(INDEX('Input-EWEMs'!$AB16:$AC16,MATCH("Fuel Oil #4",'Input-EWEMs'!$AB$10:$AC$10,0)),0))</f>
        <v>0</v>
      </c>
      <c r="AG6" s="2">
        <f>IF('Input-EWEMs'!$D16="", "",IFERROR(INDEX('Input-EWEMs'!$AB16:$AC16,MATCH("Fuel Oil #6",'Input-EWEMs'!$AB$10:$AC$10,0)),0))</f>
        <v>0</v>
      </c>
      <c r="AH6" s="2">
        <f>IF('Input-EWEMs'!$D16="", "",IFERROR(INDEX('Input-EWEMs'!$AB16:$AC16,MATCH("District Steam",'Input-EWEMs'!$AB$10:$AC$10,0)),0))</f>
        <v>0</v>
      </c>
      <c r="AI6" s="2">
        <f>IF('Input-EWEMs'!$D16="", "",IFERROR(INDEX('Input-EWEMs'!$AB16:$AC16,MATCH("Propane",'Input-EWEMs'!$AB$10:$AC$10,0)),0))</f>
        <v>0</v>
      </c>
      <c r="AJ6" s="2">
        <f>IF('Input-EWEMs'!$D16="", "",IFERROR(INDEX('Input-EWEMs'!$AB16:$AC16,MATCH("District Hot Water",'Input-EWEMs'!$AB$10:$AC$10,0)),0))</f>
        <v>0</v>
      </c>
      <c r="AK6" s="2">
        <f>IF('Input-EWEMs'!$D16="", "",IFERROR(INDEX('Input-EWEMs'!$AB16:$AC16,MATCH("District Chilled Water",'Input-EWEMs'!$AB$10:$AC$10,0)),0))</f>
        <v>0</v>
      </c>
      <c r="AL6" s="2">
        <f>IF('Input-EWEMs'!$D16="", "",IFERROR(INDEX('Input-EWEMs'!$AB16:$AC16,MATCH("Other",'Input-EWEMs'!$AB$10:$AC$10,0)),0))</f>
        <v>0</v>
      </c>
      <c r="AM6" s="2">
        <f>IF('Input-EWEMs'!$D16="", "",SUM(S6:AB6))</f>
        <v>178058.63200000001</v>
      </c>
      <c r="AN6" s="2">
        <f>IF('Input-EWEMs'!$D16="", "",SUM(AC6:AL6))</f>
        <v>498564.16960000002</v>
      </c>
      <c r="AO6" s="2">
        <f>IF('Input-EWEMs'!$D16="", "",'Input-EWEMs'!AF16)</f>
        <v>0</v>
      </c>
      <c r="AP6" s="2">
        <f>IF('Input-EWEMs'!$D16="", "",'Input-EWEMs'!AH16)</f>
        <v>2.0990434185079579E-2</v>
      </c>
      <c r="AQ6" s="2">
        <f>IF('Input-EWEMs'!$D16="", "",IFERROR(AN6/SUM('DB-Utilities'!$M$2:$M$4),""))</f>
        <v>2.5021733072452531E-2</v>
      </c>
      <c r="AR6" s="2">
        <f>IF('Input-EWEMs'!$D16="", "",'Input-EWEMs'!AJ16)</f>
        <v>0</v>
      </c>
      <c r="AS6" s="2">
        <f>IF('Input-EWEMs'!$D16="", "",'Input-EWEMs'!AK16)</f>
        <v>15</v>
      </c>
      <c r="AT6" s="2">
        <f t="shared" si="0"/>
        <v>82125</v>
      </c>
      <c r="AU6" s="2">
        <f>IF('Input-EWEMs'!$D16="", "",IFERROR('Input-EWEMs'!T16*INDEX(Assumptions!$H$6:$H$17,MATCH('Input-EWEMs'!T$11,Assumptions!$C$6:$C$17,0)),0)+IFERROR('Input-EWEMs'!U16*INDEX(Assumptions!$H$6:$H$17,MATCH('Input-EWEMs'!U$11,Assumptions!$C$6:$C$17,0)),0)+IFERROR('Input-EWEMs'!V16*INDEX(Assumptions!$H$6:$H$17,MATCH('Input-EWEMs'!V$11,Assumptions!$C$6:$C$17,0)),0))</f>
        <v>42925.570800214387</v>
      </c>
      <c r="AV6" s="2">
        <f>IF('Input-EWEMs'!$D16="", "",ROUND('Input-EWEMs'!K16,0))</f>
        <v>35000</v>
      </c>
      <c r="AW6" s="2">
        <f>IF('Input-EWEMs'!$D16="", "",ROUND('Input-EWEMs'!L16,0))</f>
        <v>5075</v>
      </c>
    </row>
    <row r="7" spans="1:49" x14ac:dyDescent="0.2">
      <c r="A7" s="2"/>
      <c r="B7" s="2" t="str">
        <f>IF('Input-EWEMs'!D17="","",IF(COUNTIF('Input-EWEMs'!C$52:C$61,'Input-EWEMs'!C17)&lt;1,'Lender Validation'!B49,"No"))</f>
        <v>No</v>
      </c>
      <c r="C7" s="2">
        <f>IF('Input-EWEMs'!$D17="", "", 'Input-EWEMs'!C17)</f>
        <v>6</v>
      </c>
      <c r="D7" s="2" t="str">
        <f>IF('Input-EWEMs'!$D17="", "", 'Input-EWEMs'!D17)</f>
        <v>Lighting</v>
      </c>
      <c r="E7" s="2" t="str">
        <f>IF('Input-EWEMs'!$D17="", "", IFERROR(INDEX('Reference-MeasureList'!$Q$7:$Q$10,MATCH('Input-EWEMs'!E17,'Reference-MeasureList'!$P$7:$P$10,0)),'Input-EWEMs'!E17))</f>
        <v>Install sensors/controls</v>
      </c>
      <c r="F7" s="2" t="str">
        <f>IF('Input-EWEMs'!$D17="", "", 'Input-EWEMs'!F17)</f>
        <v>Add occupancy sensor controls to the offices, club room, and bathrooms, in the rental office building and all laundry rooms.</v>
      </c>
      <c r="G7" s="2" t="str">
        <f>IF('Input-EWEMs'!$D17="", "", 'Input-EWEMs'!G17)</f>
        <v>Common area</v>
      </c>
      <c r="H7" s="2">
        <f>IF('Input-EWEMs'!$H17="", "", 'Input-EWEMs'!H17)</f>
        <v>20</v>
      </c>
      <c r="I7" s="2">
        <f>IF('Input-EWEMs'!$I17="", "", 'Input-EWEMs'!I17)</f>
        <v>0</v>
      </c>
      <c r="J7" s="2">
        <f>IF('Input-EWEMs'!$I17="", "", I7/'DB-Properties'!$K$2)</f>
        <v>0</v>
      </c>
      <c r="K7" s="2">
        <f>IF('Input-EWEMs'!$D17="", "",ROUND('Input-EWEMs'!M17,0))</f>
        <v>6000</v>
      </c>
      <c r="L7" s="2">
        <f>IF('Input-EWEMs'!$D17="", "",SUM(O7,R7))</f>
        <v>378</v>
      </c>
      <c r="M7" s="2">
        <f>IF('Input-EWEMs'!$D17="", "",ROUND('Input-EWEMs'!N17,0))</f>
        <v>378</v>
      </c>
      <c r="N7" s="2">
        <f>IF('Input-EWEMs'!$D17="", "",ROUND('Input-EWEMs'!O17,0))</f>
        <v>0</v>
      </c>
      <c r="O7" s="2">
        <f>IF('Input-EWEMs'!$D17="", "",ROUND('Input-EWEMs'!P17,0))</f>
        <v>378</v>
      </c>
      <c r="P7" s="2">
        <f>IF('Input-EWEMs'!$D17="", "",ROUND('Input-EWEMs'!Q17,0))</f>
        <v>0</v>
      </c>
      <c r="Q7" s="2">
        <f>IF('Input-EWEMs'!$D17="", "",ROUND('Input-EWEMs'!R17,0))</f>
        <v>0</v>
      </c>
      <c r="R7" s="2">
        <f>IF('Input-EWEMs'!$D17="", "",ROUND('Input-EWEMs'!S17,0))</f>
        <v>0</v>
      </c>
      <c r="S7" s="2">
        <f>IF('Input-EWEMs'!$D17="", "",'Input-EWEMs'!X17)</f>
        <v>12293.436</v>
      </c>
      <c r="T7" s="2">
        <f>IF('Input-EWEMs'!$D17="", "",IFERROR(INDEX('Input-EWEMs'!$Y17:$Z17,MATCH("Natural Gas",'Input-EWEMs'!$Y$10:$Z$10,0)),0))</f>
        <v>0</v>
      </c>
      <c r="U7" s="2">
        <f>IF('Input-EWEMs'!$D17="", "",IFERROR(INDEX('Input-EWEMs'!$Y17:$Z17,MATCH("Fuel Oil #2",'Input-EWEMs'!$Y$10:$Z$10,0)),0))</f>
        <v>0</v>
      </c>
      <c r="V7" s="2">
        <f>IF('Input-EWEMs'!$D17="", "",IFERROR(INDEX('Input-EWEMs'!$Y17:$Z17,MATCH("Fuel Oil #4",'Input-EWEMs'!$Y$10:$Z$10,0)),0))</f>
        <v>0</v>
      </c>
      <c r="W7" s="2">
        <f>IF('Input-EWEMs'!$D17="", "",IFERROR(INDEX('Input-EWEMs'!$Y17:$Z17,MATCH("Fuel Oil #6",'Input-EWEMs'!$Y$10:$Z$10,0)),0))</f>
        <v>0</v>
      </c>
      <c r="X7" s="2">
        <f>IF('Input-EWEMs'!$D17="", "",IFERROR(INDEX('Input-EWEMs'!$Y17:$Z17,MATCH("District Steam",'Input-EWEMs'!$Y$10:$Z$10,0)),0))</f>
        <v>0</v>
      </c>
      <c r="Y7" s="2">
        <f>IF('Input-EWEMs'!$D17="", "",IFERROR(INDEX('Input-EWEMs'!$Y17:$Z17,MATCH("Propane",'Input-EWEMs'!$Y$10:$Z$10,0)),0))</f>
        <v>0</v>
      </c>
      <c r="Z7" s="2">
        <f>IF('Input-EWEMs'!$D17="", "",IFERROR(INDEX('Input-EWEMs'!$Y17:$Z17,MATCH("District Hot Water",'Input-EWEMs'!$Y$10:$Z$10,0)),0))</f>
        <v>0</v>
      </c>
      <c r="AA7" s="2">
        <f>IF('Input-EWEMs'!$D17="", "",IFERROR(INDEX('Input-EWEMs'!$Y17:$Z17,MATCH("District Chilled Water",'Input-EWEMs'!$Y$10:$Z$10,0)),0))</f>
        <v>0</v>
      </c>
      <c r="AB7" s="2">
        <f>IF('Input-EWEMs'!$D17="", "",IFERROR(INDEX('Input-EWEMs'!$Y17:$Z17,MATCH("Other",'Input-EWEMs'!$Y$10:$Z$10,0)),0))</f>
        <v>0</v>
      </c>
      <c r="AC7" s="2">
        <f>IF('Input-EWEMs'!$D17="", "",'Input-EWEMs'!AA17)</f>
        <v>34421.620799999997</v>
      </c>
      <c r="AD7" s="2">
        <f>IF('Input-EWEMs'!$D17="", "",IFERROR(INDEX('Input-EWEMs'!$AB17:$AC17,MATCH("Natural Gas",'Input-EWEMs'!$AB$10:$AC$10,0)),0))</f>
        <v>0</v>
      </c>
      <c r="AE7" s="2">
        <f>IF('Input-EWEMs'!$D17="", "",IFERROR(INDEX('Input-EWEMs'!$AB17:$AC17,MATCH("Fuel Oil #2",'Input-EWEMs'!$AB$10:$AC$10,0)),0))</f>
        <v>0</v>
      </c>
      <c r="AF7" s="2">
        <f>IF('Input-EWEMs'!$D17="", "",IFERROR(INDEX('Input-EWEMs'!$AB17:$AC17,MATCH("Fuel Oil #4",'Input-EWEMs'!$AB$10:$AC$10,0)),0))</f>
        <v>0</v>
      </c>
      <c r="AG7" s="2">
        <f>IF('Input-EWEMs'!$D17="", "",IFERROR(INDEX('Input-EWEMs'!$AB17:$AC17,MATCH("Fuel Oil #6",'Input-EWEMs'!$AB$10:$AC$10,0)),0))</f>
        <v>0</v>
      </c>
      <c r="AH7" s="2">
        <f>IF('Input-EWEMs'!$D17="", "",IFERROR(INDEX('Input-EWEMs'!$AB17:$AC17,MATCH("District Steam",'Input-EWEMs'!$AB$10:$AC$10,0)),0))</f>
        <v>0</v>
      </c>
      <c r="AI7" s="2">
        <f>IF('Input-EWEMs'!$D17="", "",IFERROR(INDEX('Input-EWEMs'!$AB17:$AC17,MATCH("Propane",'Input-EWEMs'!$AB$10:$AC$10,0)),0))</f>
        <v>0</v>
      </c>
      <c r="AJ7" s="2">
        <f>IF('Input-EWEMs'!$D17="", "",IFERROR(INDEX('Input-EWEMs'!$AB17:$AC17,MATCH("District Hot Water",'Input-EWEMs'!$AB$10:$AC$10,0)),0))</f>
        <v>0</v>
      </c>
      <c r="AK7" s="2">
        <f>IF('Input-EWEMs'!$D17="", "",IFERROR(INDEX('Input-EWEMs'!$AB17:$AC17,MATCH("District Chilled Water",'Input-EWEMs'!$AB$10:$AC$10,0)),0))</f>
        <v>0</v>
      </c>
      <c r="AL7" s="2">
        <f>IF('Input-EWEMs'!$D17="", "",IFERROR(INDEX('Input-EWEMs'!$AB17:$AC17,MATCH("Other",'Input-EWEMs'!$AB$10:$AC$10,0)),0))</f>
        <v>0</v>
      </c>
      <c r="AM7" s="2">
        <f>IF('Input-EWEMs'!$D17="", "",SUM(S7:AB7))</f>
        <v>12293.436</v>
      </c>
      <c r="AN7" s="2">
        <f>IF('Input-EWEMs'!$D17="", "",SUM(AC7:AL7))</f>
        <v>34421.620799999997</v>
      </c>
      <c r="AO7" s="2">
        <f>IF('Input-EWEMs'!$D17="", "",'Input-EWEMs'!AF17)</f>
        <v>0</v>
      </c>
      <c r="AP7" s="2">
        <f>IF('Input-EWEMs'!$D17="", "",'Input-EWEMs'!AH17)</f>
        <v>1.4492111748139677E-3</v>
      </c>
      <c r="AQ7" s="2">
        <f>IF('Input-EWEMs'!$D17="", "",IFERROR(AN7/SUM('DB-Utilities'!$M$2:$M$4),""))</f>
        <v>1.7275381186534025E-3</v>
      </c>
      <c r="AR7" s="2">
        <f>IF('Input-EWEMs'!$D17="", "",'Input-EWEMs'!AJ17)</f>
        <v>0</v>
      </c>
      <c r="AS7" s="2">
        <f>IF('Input-EWEMs'!$D17="", "",'Input-EWEMs'!AK17)</f>
        <v>10</v>
      </c>
      <c r="AT7" s="2">
        <f t="shared" si="0"/>
        <v>3780</v>
      </c>
      <c r="AU7" s="2">
        <f>IF('Input-EWEMs'!$D17="", "",IFERROR('Input-EWEMs'!T17*INDEX(Assumptions!$H$6:$H$17,MATCH('Input-EWEMs'!T$11,Assumptions!$C$6:$C$17,0)),0)+IFERROR('Input-EWEMs'!U17*INDEX(Assumptions!$H$6:$H$17,MATCH('Input-EWEMs'!U$11,Assumptions!$C$6:$C$17,0)),0)+IFERROR('Input-EWEMs'!V17*INDEX(Assumptions!$H$6:$H$17,MATCH('Input-EWEMs'!V$11,Assumptions!$C$6:$C$17,0)),0))</f>
        <v>2963.6460275394252</v>
      </c>
      <c r="AV7" s="2">
        <f>IF('Input-EWEMs'!$D17="", "",ROUND('Input-EWEMs'!K17,0))</f>
        <v>5000</v>
      </c>
      <c r="AW7" s="2">
        <f>IF('Input-EWEMs'!$D17="", "",ROUND('Input-EWEMs'!L17,0))</f>
        <v>1000</v>
      </c>
    </row>
    <row r="8" spans="1:49" x14ac:dyDescent="0.2">
      <c r="A8" s="2"/>
      <c r="B8" s="2" t="str">
        <f>IF('Input-EWEMs'!D18="","",IF(COUNTIF('Input-EWEMs'!C$52:C$61,'Input-EWEMs'!C18)&lt;1,'Lender Validation'!B50,"No"))</f>
        <v>No</v>
      </c>
      <c r="C8" s="2">
        <f>IF('Input-EWEMs'!$D18="", "", 'Input-EWEMs'!C18)</f>
        <v>7</v>
      </c>
      <c r="D8" s="2" t="str">
        <f>IF('Input-EWEMs'!$D18="", "", 'Input-EWEMs'!D18)</f>
        <v>Appliances and plug load reductions</v>
      </c>
      <c r="E8" s="2" t="str">
        <f>IF('Input-EWEMs'!$D18="", "", IFERROR(INDEX('Reference-MeasureList'!$Q$7:$Q$10,MATCH('Input-EWEMs'!E18,'Reference-MeasureList'!$P$7:$P$10,0)),'Input-EWEMs'!E18))</f>
        <v>Replace refrigerators with ENERGY STAR rated</v>
      </c>
      <c r="F8" s="2" t="str">
        <f>IF('Input-EWEMs'!$D18="", "", 'Input-EWEMs'!F18)</f>
        <v>Replace all 129 apartment refrigerators with ENERGY STAR-certified models.</v>
      </c>
      <c r="G8" s="2" t="str">
        <f>IF('Input-EWEMs'!$D18="", "", 'Input-EWEMs'!G18)</f>
        <v>Apartments</v>
      </c>
      <c r="H8" s="2">
        <f>IF('Input-EWEMs'!$H18="", "", 'Input-EWEMs'!H18)</f>
        <v>129</v>
      </c>
      <c r="I8" s="2">
        <f>IF('Input-EWEMs'!$I18="", "", 'Input-EWEMs'!I18)</f>
        <v>129</v>
      </c>
      <c r="J8" s="2">
        <f>IF('Input-EWEMs'!$I18="", "", I8/'DB-Properties'!$K$2)</f>
        <v>1</v>
      </c>
      <c r="K8" s="2">
        <f>IF('Input-EWEMs'!$D18="", "",ROUND('Input-EWEMs'!M18,0))</f>
        <v>60000</v>
      </c>
      <c r="L8" s="2">
        <f>IF('Input-EWEMs'!$D18="", "",SUM(O8,R8))</f>
        <v>2068</v>
      </c>
      <c r="M8" s="2">
        <f>IF('Input-EWEMs'!$D18="", "",ROUND('Input-EWEMs'!N18,0))</f>
        <v>2068</v>
      </c>
      <c r="N8" s="2">
        <f>IF('Input-EWEMs'!$D18="", "",ROUND('Input-EWEMs'!O18,0))</f>
        <v>0</v>
      </c>
      <c r="O8" s="2">
        <f>IF('Input-EWEMs'!$D18="", "",ROUND('Input-EWEMs'!P18,0))</f>
        <v>2068</v>
      </c>
      <c r="P8" s="2">
        <f>IF('Input-EWEMs'!$D18="", "",ROUND('Input-EWEMs'!Q18,0))</f>
        <v>0</v>
      </c>
      <c r="Q8" s="2">
        <f>IF('Input-EWEMs'!$D18="", "",ROUND('Input-EWEMs'!R18,0))</f>
        <v>0</v>
      </c>
      <c r="R8" s="2">
        <f>IF('Input-EWEMs'!$D18="", "",ROUND('Input-EWEMs'!S18,0))</f>
        <v>0</v>
      </c>
      <c r="S8" s="2">
        <f>IF('Input-EWEMs'!$D18="", "",'Input-EWEMs'!X18)</f>
        <v>67243.695999999996</v>
      </c>
      <c r="T8" s="2">
        <f>IF('Input-EWEMs'!$D18="", "",IFERROR(INDEX('Input-EWEMs'!$Y18:$Z18,MATCH("Natural Gas",'Input-EWEMs'!$Y$10:$Z$10,0)),0))</f>
        <v>0</v>
      </c>
      <c r="U8" s="2">
        <f>IF('Input-EWEMs'!$D18="", "",IFERROR(INDEX('Input-EWEMs'!$Y18:$Z18,MATCH("Fuel Oil #2",'Input-EWEMs'!$Y$10:$Z$10,0)),0))</f>
        <v>0</v>
      </c>
      <c r="V8" s="2">
        <f>IF('Input-EWEMs'!$D18="", "",IFERROR(INDEX('Input-EWEMs'!$Y18:$Z18,MATCH("Fuel Oil #4",'Input-EWEMs'!$Y$10:$Z$10,0)),0))</f>
        <v>0</v>
      </c>
      <c r="W8" s="2">
        <f>IF('Input-EWEMs'!$D18="", "",IFERROR(INDEX('Input-EWEMs'!$Y18:$Z18,MATCH("Fuel Oil #6",'Input-EWEMs'!$Y$10:$Z$10,0)),0))</f>
        <v>0</v>
      </c>
      <c r="X8" s="2">
        <f>IF('Input-EWEMs'!$D18="", "",IFERROR(INDEX('Input-EWEMs'!$Y18:$Z18,MATCH("District Steam",'Input-EWEMs'!$Y$10:$Z$10,0)),0))</f>
        <v>0</v>
      </c>
      <c r="Y8" s="2">
        <f>IF('Input-EWEMs'!$D18="", "",IFERROR(INDEX('Input-EWEMs'!$Y18:$Z18,MATCH("Propane",'Input-EWEMs'!$Y$10:$Z$10,0)),0))</f>
        <v>0</v>
      </c>
      <c r="Z8" s="2">
        <f>IF('Input-EWEMs'!$D18="", "",IFERROR(INDEX('Input-EWEMs'!$Y18:$Z18,MATCH("District Hot Water",'Input-EWEMs'!$Y$10:$Z$10,0)),0))</f>
        <v>0</v>
      </c>
      <c r="AA8" s="2">
        <f>IF('Input-EWEMs'!$D18="", "",IFERROR(INDEX('Input-EWEMs'!$Y18:$Z18,MATCH("District Chilled Water",'Input-EWEMs'!$Y$10:$Z$10,0)),0))</f>
        <v>0</v>
      </c>
      <c r="AB8" s="2">
        <f>IF('Input-EWEMs'!$D18="", "",IFERROR(INDEX('Input-EWEMs'!$Y18:$Z18,MATCH("Other",'Input-EWEMs'!$Y$10:$Z$10,0)),0))</f>
        <v>0</v>
      </c>
      <c r="AC8" s="2">
        <f>IF('Input-EWEMs'!$D18="", "",'Input-EWEMs'!AA18)</f>
        <v>188282.34879999998</v>
      </c>
      <c r="AD8" s="2">
        <f>IF('Input-EWEMs'!$D18="", "",IFERROR(INDEX('Input-EWEMs'!$AB18:$AC18,MATCH("Natural Gas",'Input-EWEMs'!$AB$10:$AC$10,0)),0))</f>
        <v>0</v>
      </c>
      <c r="AE8" s="2">
        <f>IF('Input-EWEMs'!$D18="", "",IFERROR(INDEX('Input-EWEMs'!$AB18:$AC18,MATCH("Fuel Oil #2",'Input-EWEMs'!$AB$10:$AC$10,0)),0))</f>
        <v>0</v>
      </c>
      <c r="AF8" s="2">
        <f>IF('Input-EWEMs'!$D18="", "",IFERROR(INDEX('Input-EWEMs'!$AB18:$AC18,MATCH("Fuel Oil #4",'Input-EWEMs'!$AB$10:$AC$10,0)),0))</f>
        <v>0</v>
      </c>
      <c r="AG8" s="2">
        <f>IF('Input-EWEMs'!$D18="", "",IFERROR(INDEX('Input-EWEMs'!$AB18:$AC18,MATCH("Fuel Oil #6",'Input-EWEMs'!$AB$10:$AC$10,0)),0))</f>
        <v>0</v>
      </c>
      <c r="AH8" s="2">
        <f>IF('Input-EWEMs'!$D18="", "",IFERROR(INDEX('Input-EWEMs'!$AB18:$AC18,MATCH("District Steam",'Input-EWEMs'!$AB$10:$AC$10,0)),0))</f>
        <v>0</v>
      </c>
      <c r="AI8" s="2">
        <f>IF('Input-EWEMs'!$D18="", "",IFERROR(INDEX('Input-EWEMs'!$AB18:$AC18,MATCH("Propane",'Input-EWEMs'!$AB$10:$AC$10,0)),0))</f>
        <v>0</v>
      </c>
      <c r="AJ8" s="2">
        <f>IF('Input-EWEMs'!$D18="", "",IFERROR(INDEX('Input-EWEMs'!$AB18:$AC18,MATCH("District Hot Water",'Input-EWEMs'!$AB$10:$AC$10,0)),0))</f>
        <v>0</v>
      </c>
      <c r="AK8" s="2">
        <f>IF('Input-EWEMs'!$D18="", "",IFERROR(INDEX('Input-EWEMs'!$AB18:$AC18,MATCH("District Chilled Water",'Input-EWEMs'!$AB$10:$AC$10,0)),0))</f>
        <v>0</v>
      </c>
      <c r="AL8" s="2">
        <f>IF('Input-EWEMs'!$D18="", "",IFERROR(INDEX('Input-EWEMs'!$AB18:$AC18,MATCH("Other",'Input-EWEMs'!$AB$10:$AC$10,0)),0))</f>
        <v>0</v>
      </c>
      <c r="AM8" s="2">
        <f>IF('Input-EWEMs'!$D18="", "",SUM(S8:AB8))</f>
        <v>67243.695999999996</v>
      </c>
      <c r="AN8" s="2">
        <f>IF('Input-EWEMs'!$D18="", "",SUM(AC8:AL8))</f>
        <v>188282.34879999998</v>
      </c>
      <c r="AO8" s="2">
        <f>IF('Input-EWEMs'!$D18="", "",'Input-EWEMs'!AF18)</f>
        <v>0</v>
      </c>
      <c r="AP8" s="2">
        <f>IF('Input-EWEMs'!$D18="", "",'Input-EWEMs'!AH18)</f>
        <v>7.9270202146082911E-3</v>
      </c>
      <c r="AQ8" s="2">
        <f>IF('Input-EWEMs'!$D18="", "",IFERROR(AN8/SUM('DB-Utilities'!$M$2:$M$4),""))</f>
        <v>9.4494369254569111E-3</v>
      </c>
      <c r="AR8" s="2">
        <f>IF('Input-EWEMs'!$D18="", "",'Input-EWEMs'!AJ18)</f>
        <v>0</v>
      </c>
      <c r="AS8" s="2">
        <f>IF('Input-EWEMs'!$D18="", "",'Input-EWEMs'!AK18)</f>
        <v>10</v>
      </c>
      <c r="AT8" s="2">
        <f t="shared" si="0"/>
        <v>20680</v>
      </c>
      <c r="AU8" s="2">
        <f>IF('Input-EWEMs'!$D18="", "",IFERROR('Input-EWEMs'!T18*INDEX(Assumptions!$H$6:$H$17,MATCH('Input-EWEMs'!T$11,Assumptions!$C$6:$C$17,0)),0)+IFERROR('Input-EWEMs'!U18*INDEX(Assumptions!$H$6:$H$17,MATCH('Input-EWEMs'!U$11,Assumptions!$C$6:$C$17,0)),0)+IFERROR('Input-EWEMs'!V18*INDEX(Assumptions!$H$6:$H$17,MATCH('Input-EWEMs'!V$11,Assumptions!$C$6:$C$17,0)),0))</f>
        <v>16210.806525325283</v>
      </c>
      <c r="AV8" s="2">
        <f>IF('Input-EWEMs'!$D18="", "",ROUND('Input-EWEMs'!K18,0))</f>
        <v>50000</v>
      </c>
      <c r="AW8" s="2">
        <f>IF('Input-EWEMs'!$D18="", "",ROUND('Input-EWEMs'!L18,0))</f>
        <v>10000</v>
      </c>
    </row>
    <row r="9" spans="1:49" x14ac:dyDescent="0.2">
      <c r="A9" s="2"/>
      <c r="B9" s="2" t="str">
        <f>IF('Input-EWEMs'!D19="","",IF(COUNTIF('Input-EWEMs'!C$52:C$61,'Input-EWEMs'!C19)&lt;1,'Lender Validation'!B51,"No"))</f>
        <v>No</v>
      </c>
      <c r="C9" s="2">
        <f>IF('Input-EWEMs'!$D19="", "", 'Input-EWEMs'!C19)</f>
        <v>8</v>
      </c>
      <c r="D9" s="2" t="str">
        <f>IF('Input-EWEMs'!$D19="", "", 'Input-EWEMs'!D19)</f>
        <v>Appliances and plug load reductions</v>
      </c>
      <c r="E9" s="2" t="str">
        <f>IF('Input-EWEMs'!$D19="", "", IFERROR(INDEX('Reference-MeasureList'!$Q$7:$Q$10,MATCH('Input-EWEMs'!E19,'Reference-MeasureList'!$P$7:$P$10,0)),'Input-EWEMs'!E19))</f>
        <v>Replace dishwashers with ENERGY STAR rated</v>
      </c>
      <c r="F9" s="2" t="str">
        <f>IF('Input-EWEMs'!$D19="", "", 'Input-EWEMs'!F19)</f>
        <v>Replace all 129 apartment dishwashers with ENERGY STAR-certified models.</v>
      </c>
      <c r="G9" s="2" t="str">
        <f>IF('Input-EWEMs'!$D19="", "", 'Input-EWEMs'!G19)</f>
        <v>Apartments</v>
      </c>
      <c r="H9" s="2">
        <f>IF('Input-EWEMs'!$H19="", "", 'Input-EWEMs'!H19)</f>
        <v>129</v>
      </c>
      <c r="I9" s="2">
        <f>IF('Input-EWEMs'!$I19="", "", 'Input-EWEMs'!I19)</f>
        <v>129</v>
      </c>
      <c r="J9" s="2">
        <f>IF('Input-EWEMs'!$I19="", "", I9/'DB-Properties'!$K$2)</f>
        <v>1</v>
      </c>
      <c r="K9" s="2">
        <f>IF('Input-EWEMs'!$D19="", "",ROUND('Input-EWEMs'!M19,0))</f>
        <v>113200</v>
      </c>
      <c r="L9" s="2">
        <f>IF('Input-EWEMs'!$D19="", "",SUM(O9,R9))</f>
        <v>762</v>
      </c>
      <c r="M9" s="2">
        <f>IF('Input-EWEMs'!$D19="", "",ROUND('Input-EWEMs'!N19,0))</f>
        <v>406</v>
      </c>
      <c r="N9" s="2">
        <f>IF('Input-EWEMs'!$D19="", "",ROUND('Input-EWEMs'!O19,0))</f>
        <v>0</v>
      </c>
      <c r="O9" s="2">
        <f>IF('Input-EWEMs'!$D19="", "",ROUND('Input-EWEMs'!P19,0))</f>
        <v>406</v>
      </c>
      <c r="P9" s="2">
        <f>IF('Input-EWEMs'!$D19="", "",ROUND('Input-EWEMs'!Q19,0))</f>
        <v>0</v>
      </c>
      <c r="Q9" s="2">
        <f>IF('Input-EWEMs'!$D19="", "",ROUND('Input-EWEMs'!R19,0))</f>
        <v>356</v>
      </c>
      <c r="R9" s="2">
        <f>IF('Input-EWEMs'!$D19="", "",ROUND('Input-EWEMs'!S19,0))</f>
        <v>356</v>
      </c>
      <c r="S9" s="2">
        <f>IF('Input-EWEMs'!$D19="", "",'Input-EWEMs'!X19)</f>
        <v>13204.44</v>
      </c>
      <c r="T9" s="2">
        <f>IF('Input-EWEMs'!$D19="", "",IFERROR(INDEX('Input-EWEMs'!$Y19:$Z19,MATCH("Natural Gas",'Input-EWEMs'!$Y$10:$Z$10,0)),0))</f>
        <v>0</v>
      </c>
      <c r="U9" s="2">
        <f>IF('Input-EWEMs'!$D19="", "",IFERROR(INDEX('Input-EWEMs'!$Y19:$Z19,MATCH("Fuel Oil #2",'Input-EWEMs'!$Y$10:$Z$10,0)),0))</f>
        <v>0</v>
      </c>
      <c r="V9" s="2">
        <f>IF('Input-EWEMs'!$D19="", "",IFERROR(INDEX('Input-EWEMs'!$Y19:$Z19,MATCH("Fuel Oil #4",'Input-EWEMs'!$Y$10:$Z$10,0)),0))</f>
        <v>0</v>
      </c>
      <c r="W9" s="2">
        <f>IF('Input-EWEMs'!$D19="", "",IFERROR(INDEX('Input-EWEMs'!$Y19:$Z19,MATCH("Fuel Oil #6",'Input-EWEMs'!$Y$10:$Z$10,0)),0))</f>
        <v>0</v>
      </c>
      <c r="X9" s="2">
        <f>IF('Input-EWEMs'!$D19="", "",IFERROR(INDEX('Input-EWEMs'!$Y19:$Z19,MATCH("District Steam",'Input-EWEMs'!$Y$10:$Z$10,0)),0))</f>
        <v>0</v>
      </c>
      <c r="Y9" s="2">
        <f>IF('Input-EWEMs'!$D19="", "",IFERROR(INDEX('Input-EWEMs'!$Y19:$Z19,MATCH("Propane",'Input-EWEMs'!$Y$10:$Z$10,0)),0))</f>
        <v>0</v>
      </c>
      <c r="Z9" s="2">
        <f>IF('Input-EWEMs'!$D19="", "",IFERROR(INDEX('Input-EWEMs'!$Y19:$Z19,MATCH("District Hot Water",'Input-EWEMs'!$Y$10:$Z$10,0)),0))</f>
        <v>0</v>
      </c>
      <c r="AA9" s="2">
        <f>IF('Input-EWEMs'!$D19="", "",IFERROR(INDEX('Input-EWEMs'!$Y19:$Z19,MATCH("District Chilled Water",'Input-EWEMs'!$Y$10:$Z$10,0)),0))</f>
        <v>0</v>
      </c>
      <c r="AB9" s="2">
        <f>IF('Input-EWEMs'!$D19="", "",IFERROR(INDEX('Input-EWEMs'!$Y19:$Z19,MATCH("Other",'Input-EWEMs'!$Y$10:$Z$10,0)),0))</f>
        <v>0</v>
      </c>
      <c r="AC9" s="2">
        <f>IF('Input-EWEMs'!$D19="", "",'Input-EWEMs'!AA19)</f>
        <v>36972.432000000001</v>
      </c>
      <c r="AD9" s="2">
        <f>IF('Input-EWEMs'!$D19="", "",IFERROR(INDEX('Input-EWEMs'!$AB19:$AC19,MATCH("Natural Gas",'Input-EWEMs'!$AB$10:$AC$10,0)),0))</f>
        <v>0</v>
      </c>
      <c r="AE9" s="2">
        <f>IF('Input-EWEMs'!$D19="", "",IFERROR(INDEX('Input-EWEMs'!$AB19:$AC19,MATCH("Fuel Oil #2",'Input-EWEMs'!$AB$10:$AC$10,0)),0))</f>
        <v>0</v>
      </c>
      <c r="AF9" s="2">
        <f>IF('Input-EWEMs'!$D19="", "",IFERROR(INDEX('Input-EWEMs'!$AB19:$AC19,MATCH("Fuel Oil #4",'Input-EWEMs'!$AB$10:$AC$10,0)),0))</f>
        <v>0</v>
      </c>
      <c r="AG9" s="2">
        <f>IF('Input-EWEMs'!$D19="", "",IFERROR(INDEX('Input-EWEMs'!$AB19:$AC19,MATCH("Fuel Oil #6",'Input-EWEMs'!$AB$10:$AC$10,0)),0))</f>
        <v>0</v>
      </c>
      <c r="AH9" s="2">
        <f>IF('Input-EWEMs'!$D19="", "",IFERROR(INDEX('Input-EWEMs'!$AB19:$AC19,MATCH("District Steam",'Input-EWEMs'!$AB$10:$AC$10,0)),0))</f>
        <v>0</v>
      </c>
      <c r="AI9" s="2">
        <f>IF('Input-EWEMs'!$D19="", "",IFERROR(INDEX('Input-EWEMs'!$AB19:$AC19,MATCH("Propane",'Input-EWEMs'!$AB$10:$AC$10,0)),0))</f>
        <v>0</v>
      </c>
      <c r="AJ9" s="2">
        <f>IF('Input-EWEMs'!$D19="", "",IFERROR(INDEX('Input-EWEMs'!$AB19:$AC19,MATCH("District Hot Water",'Input-EWEMs'!$AB$10:$AC$10,0)),0))</f>
        <v>0</v>
      </c>
      <c r="AK9" s="2">
        <f>IF('Input-EWEMs'!$D19="", "",IFERROR(INDEX('Input-EWEMs'!$AB19:$AC19,MATCH("District Chilled Water",'Input-EWEMs'!$AB$10:$AC$10,0)),0))</f>
        <v>0</v>
      </c>
      <c r="AL9" s="2">
        <f>IF('Input-EWEMs'!$D19="", "",IFERROR(INDEX('Input-EWEMs'!$AB19:$AC19,MATCH("Other",'Input-EWEMs'!$AB$10:$AC$10,0)),0))</f>
        <v>0</v>
      </c>
      <c r="AM9" s="2">
        <f>IF('Input-EWEMs'!$D19="", "",SUM(S9:AB9))</f>
        <v>13204.44</v>
      </c>
      <c r="AN9" s="2">
        <f>IF('Input-EWEMs'!$D19="", "",SUM(AC9:AL9))</f>
        <v>36972.432000000001</v>
      </c>
      <c r="AO9" s="2">
        <f>IF('Input-EWEMs'!$D19="", "",'Input-EWEMs'!AF19)</f>
        <v>80</v>
      </c>
      <c r="AP9" s="2">
        <f>IF('Input-EWEMs'!$D19="", "",'Input-EWEMs'!AH19)</f>
        <v>1.5566048422231628E-3</v>
      </c>
      <c r="AQ9" s="2">
        <f>IF('Input-EWEMs'!$D19="", "",IFERROR(AN9/SUM('DB-Utilities'!$M$2:$M$4),""))</f>
        <v>1.855557179902489E-3</v>
      </c>
      <c r="AR9" s="2">
        <f>IF('Input-EWEMs'!$D19="", "",'Input-EWEMs'!AJ19)</f>
        <v>1.047431083617209E-2</v>
      </c>
      <c r="AS9" s="2">
        <f>IF('Input-EWEMs'!$D19="", "",'Input-EWEMs'!AK19)</f>
        <v>7.5</v>
      </c>
      <c r="AT9" s="2">
        <f t="shared" si="0"/>
        <v>5715</v>
      </c>
      <c r="AU9" s="2">
        <f>IF('Input-EWEMs'!$D19="", "",IFERROR('Input-EWEMs'!T19*INDEX(Assumptions!$H$6:$H$17,MATCH('Input-EWEMs'!T$11,Assumptions!$C$6:$C$17,0)),0)+IFERROR('Input-EWEMs'!U19*INDEX(Assumptions!$H$6:$H$17,MATCH('Input-EWEMs'!U$11,Assumptions!$C$6:$C$17,0)),0)+IFERROR('Input-EWEMs'!V19*INDEX(Assumptions!$H$6:$H$17,MATCH('Input-EWEMs'!V$11,Assumptions!$C$6:$C$17,0)),0))</f>
        <v>3183.2667573071262</v>
      </c>
      <c r="AV9" s="2">
        <f>IF('Input-EWEMs'!$D19="", "",ROUND('Input-EWEMs'!K19,0))</f>
        <v>103200</v>
      </c>
      <c r="AW9" s="2">
        <f>IF('Input-EWEMs'!$D19="", "",ROUND('Input-EWEMs'!L19,0))</f>
        <v>10000</v>
      </c>
    </row>
    <row r="10" spans="1:49" x14ac:dyDescent="0.2">
      <c r="A10" s="2"/>
      <c r="B10" s="2" t="str">
        <f>IF('Input-EWEMs'!D20="","",IF(COUNTIF('Input-EWEMs'!C$52:C$61,'Input-EWEMs'!C20)&lt;1,'Lender Validation'!B52,"No"))</f>
        <v>No</v>
      </c>
      <c r="C10" s="2">
        <f>IF('Input-EWEMs'!$D20="", "", 'Input-EWEMs'!C20)</f>
        <v>9</v>
      </c>
      <c r="D10" s="2" t="str">
        <f>IF('Input-EWEMs'!$D20="", "", 'Input-EWEMs'!D20)</f>
        <v>Water and sewer conservation</v>
      </c>
      <c r="E10" s="2" t="str">
        <f>IF('Input-EWEMs'!$D20="", "", IFERROR(INDEX('Reference-MeasureList'!$Q$7:$Q$10,MATCH('Input-EWEMs'!E20,'Reference-MeasureList'!$P$7:$P$10,0)),'Input-EWEMs'!E20))</f>
        <v>Install WaterSense low-flow bath faucets/aerators</v>
      </c>
      <c r="F10" s="2" t="str">
        <f>IF('Input-EWEMs'!$D20="", "", 'Input-EWEMs'!F20)</f>
        <v>Install 235 low-flow 1.0 GPM WaterSense-certified bathroom faucet aerators.</v>
      </c>
      <c r="G10" s="2" t="str">
        <f>IF('Input-EWEMs'!$D20="", "", 'Input-EWEMs'!G20)</f>
        <v>Apartments</v>
      </c>
      <c r="H10" s="2">
        <f>IF('Input-EWEMs'!$H20="", "", 'Input-EWEMs'!H20)</f>
        <v>235</v>
      </c>
      <c r="I10" s="2">
        <f>IF('Input-EWEMs'!$I20="", "", 'Input-EWEMs'!I20)</f>
        <v>129</v>
      </c>
      <c r="J10" s="2">
        <f>IF('Input-EWEMs'!$I20="", "", I10/'DB-Properties'!$K$2)</f>
        <v>1</v>
      </c>
      <c r="K10" s="2">
        <f>IF('Input-EWEMs'!$D20="", "",ROUND('Input-EWEMs'!M20,0))</f>
        <v>2851</v>
      </c>
      <c r="L10" s="2">
        <f>IF('Input-EWEMs'!$D20="", "",SUM(O10,R10))</f>
        <v>2108</v>
      </c>
      <c r="M10" s="2">
        <f>IF('Input-EWEMs'!$D20="", "",ROUND('Input-EWEMs'!N20,0))</f>
        <v>997</v>
      </c>
      <c r="N10" s="2">
        <f>IF('Input-EWEMs'!$D20="", "",ROUND('Input-EWEMs'!O20,0))</f>
        <v>0</v>
      </c>
      <c r="O10" s="2">
        <f>IF('Input-EWEMs'!$D20="", "",ROUND('Input-EWEMs'!P20,0))</f>
        <v>997</v>
      </c>
      <c r="P10" s="2">
        <f>IF('Input-EWEMs'!$D20="", "",ROUND('Input-EWEMs'!Q20,0))</f>
        <v>0</v>
      </c>
      <c r="Q10" s="2">
        <f>IF('Input-EWEMs'!$D20="", "",ROUND('Input-EWEMs'!R20,0))</f>
        <v>1111</v>
      </c>
      <c r="R10" s="2">
        <f>IF('Input-EWEMs'!$D20="", "",ROUND('Input-EWEMs'!S20,0))</f>
        <v>1111</v>
      </c>
      <c r="S10" s="2">
        <f>IF('Input-EWEMs'!$D20="", "",'Input-EWEMs'!X20)</f>
        <v>0</v>
      </c>
      <c r="T10" s="2">
        <f>IF('Input-EWEMs'!$D20="", "",IFERROR(INDEX('Input-EWEMs'!$Y20:$Z20,MATCH("Natural Gas",'Input-EWEMs'!$Y$10:$Z$10,0)),0))</f>
        <v>76600</v>
      </c>
      <c r="U10" s="2">
        <f>IF('Input-EWEMs'!$D20="", "",IFERROR(INDEX('Input-EWEMs'!$Y20:$Z20,MATCH("Fuel Oil #2",'Input-EWEMs'!$Y$10:$Z$10,0)),0))</f>
        <v>0</v>
      </c>
      <c r="V10" s="2">
        <f>IF('Input-EWEMs'!$D20="", "",IFERROR(INDEX('Input-EWEMs'!$Y20:$Z20,MATCH("Fuel Oil #4",'Input-EWEMs'!$Y$10:$Z$10,0)),0))</f>
        <v>0</v>
      </c>
      <c r="W10" s="2">
        <f>IF('Input-EWEMs'!$D20="", "",IFERROR(INDEX('Input-EWEMs'!$Y20:$Z20,MATCH("Fuel Oil #6",'Input-EWEMs'!$Y$10:$Z$10,0)),0))</f>
        <v>0</v>
      </c>
      <c r="X10" s="2">
        <f>IF('Input-EWEMs'!$D20="", "",IFERROR(INDEX('Input-EWEMs'!$Y20:$Z20,MATCH("District Steam",'Input-EWEMs'!$Y$10:$Z$10,0)),0))</f>
        <v>0</v>
      </c>
      <c r="Y10" s="2">
        <f>IF('Input-EWEMs'!$D20="", "",IFERROR(INDEX('Input-EWEMs'!$Y20:$Z20,MATCH("Propane",'Input-EWEMs'!$Y$10:$Z$10,0)),0))</f>
        <v>0</v>
      </c>
      <c r="Z10" s="2">
        <f>IF('Input-EWEMs'!$D20="", "",IFERROR(INDEX('Input-EWEMs'!$Y20:$Z20,MATCH("District Hot Water",'Input-EWEMs'!$Y$10:$Z$10,0)),0))</f>
        <v>0</v>
      </c>
      <c r="AA10" s="2">
        <f>IF('Input-EWEMs'!$D20="", "",IFERROR(INDEX('Input-EWEMs'!$Y20:$Z20,MATCH("District Chilled Water",'Input-EWEMs'!$Y$10:$Z$10,0)),0))</f>
        <v>0</v>
      </c>
      <c r="AB10" s="2">
        <f>IF('Input-EWEMs'!$D20="", "",IFERROR(INDEX('Input-EWEMs'!$Y20:$Z20,MATCH("Other",'Input-EWEMs'!$Y$10:$Z$10,0)),0))</f>
        <v>0</v>
      </c>
      <c r="AC10" s="2">
        <f>IF('Input-EWEMs'!$D20="", "",'Input-EWEMs'!AA20)</f>
        <v>0</v>
      </c>
      <c r="AD10" s="2">
        <f>IF('Input-EWEMs'!$D20="", "",IFERROR(INDEX('Input-EWEMs'!$AB20:$AC20,MATCH("Natural Gas",'Input-EWEMs'!$AB$10:$AC$10,0)),0))</f>
        <v>80430</v>
      </c>
      <c r="AE10" s="2">
        <f>IF('Input-EWEMs'!$D20="", "",IFERROR(INDEX('Input-EWEMs'!$AB20:$AC20,MATCH("Fuel Oil #2",'Input-EWEMs'!$AB$10:$AC$10,0)),0))</f>
        <v>0</v>
      </c>
      <c r="AF10" s="2">
        <f>IF('Input-EWEMs'!$D20="", "",IFERROR(INDEX('Input-EWEMs'!$AB20:$AC20,MATCH("Fuel Oil #4",'Input-EWEMs'!$AB$10:$AC$10,0)),0))</f>
        <v>0</v>
      </c>
      <c r="AG10" s="2">
        <f>IF('Input-EWEMs'!$D20="", "",IFERROR(INDEX('Input-EWEMs'!$AB20:$AC20,MATCH("Fuel Oil #6",'Input-EWEMs'!$AB$10:$AC$10,0)),0))</f>
        <v>0</v>
      </c>
      <c r="AH10" s="2">
        <f>IF('Input-EWEMs'!$D20="", "",IFERROR(INDEX('Input-EWEMs'!$AB20:$AC20,MATCH("District Steam",'Input-EWEMs'!$AB$10:$AC$10,0)),0))</f>
        <v>0</v>
      </c>
      <c r="AI10" s="2">
        <f>IF('Input-EWEMs'!$D20="", "",IFERROR(INDEX('Input-EWEMs'!$AB20:$AC20,MATCH("Propane",'Input-EWEMs'!$AB$10:$AC$10,0)),0))</f>
        <v>0</v>
      </c>
      <c r="AJ10" s="2">
        <f>IF('Input-EWEMs'!$D20="", "",IFERROR(INDEX('Input-EWEMs'!$AB20:$AC20,MATCH("District Hot Water",'Input-EWEMs'!$AB$10:$AC$10,0)),0))</f>
        <v>0</v>
      </c>
      <c r="AK10" s="2">
        <f>IF('Input-EWEMs'!$D20="", "",IFERROR(INDEX('Input-EWEMs'!$AB20:$AC20,MATCH("District Chilled Water",'Input-EWEMs'!$AB$10:$AC$10,0)),0))</f>
        <v>0</v>
      </c>
      <c r="AL10" s="2">
        <f>IF('Input-EWEMs'!$D20="", "",IFERROR(INDEX('Input-EWEMs'!$AB20:$AC20,MATCH("Other",'Input-EWEMs'!$AB$10:$AC$10,0)),0))</f>
        <v>0</v>
      </c>
      <c r="AM10" s="2">
        <f>IF('Input-EWEMs'!$D20="", "",SUM(S10:AB10))</f>
        <v>76600</v>
      </c>
      <c r="AN10" s="2">
        <f>IF('Input-EWEMs'!$D20="", "",SUM(AC10:AL10))</f>
        <v>80430</v>
      </c>
      <c r="AO10" s="2">
        <f>IF('Input-EWEMs'!$D20="", "",'Input-EWEMs'!AF20)</f>
        <v>250</v>
      </c>
      <c r="AP10" s="2">
        <f>IF('Input-EWEMs'!$D20="", "",'Input-EWEMs'!AH20)</f>
        <v>9.0299877097623424E-3</v>
      </c>
      <c r="AQ10" s="2">
        <f>IF('Input-EWEMs'!$D20="", "",IFERROR(AN10/SUM('DB-Utilities'!$M$2:$M$4),""))</f>
        <v>4.0365876926775381E-3</v>
      </c>
      <c r="AR10" s="2">
        <f>IF('Input-EWEMs'!$D20="", "",'Input-EWEMs'!AJ20)</f>
        <v>3.2732221363037779E-2</v>
      </c>
      <c r="AS10" s="2">
        <f>IF('Input-EWEMs'!$D20="", "",'Input-EWEMs'!AK20)</f>
        <v>17.5</v>
      </c>
      <c r="AT10" s="2">
        <f t="shared" si="0"/>
        <v>36890</v>
      </c>
      <c r="AU10" s="2">
        <f>IF('Input-EWEMs'!$D20="", "",IFERROR('Input-EWEMs'!T20*INDEX(Assumptions!$H$6:$H$17,MATCH('Input-EWEMs'!T$11,Assumptions!$C$6:$C$17,0)),0)+IFERROR('Input-EWEMs'!U20*INDEX(Assumptions!$H$6:$H$17,MATCH('Input-EWEMs'!U$11,Assumptions!$C$6:$C$17,0)),0)+IFERROR('Input-EWEMs'!V20*INDEX(Assumptions!$H$6:$H$17,MATCH('Input-EWEMs'!V$11,Assumptions!$C$6:$C$17,0)),0))</f>
        <v>8968.9030628721193</v>
      </c>
      <c r="AV10" s="2">
        <f>IF('Input-EWEMs'!$D20="", "",ROUND('Input-EWEMs'!K20,0))</f>
        <v>1551</v>
      </c>
      <c r="AW10" s="2">
        <f>IF('Input-EWEMs'!$D20="", "",ROUND('Input-EWEMs'!L20,0))</f>
        <v>1300</v>
      </c>
    </row>
    <row r="11" spans="1:49" x14ac:dyDescent="0.2">
      <c r="A11" s="2"/>
      <c r="B11" s="2" t="str">
        <f>IF('Input-EWEMs'!D21="","",IF(COUNTIF('Input-EWEMs'!C$52:C$61,'Input-EWEMs'!C21)&lt;1,'Lender Validation'!B53,"No"))</f>
        <v>No</v>
      </c>
      <c r="C11" s="2">
        <f>IF('Input-EWEMs'!$D21="", "", 'Input-EWEMs'!C21)</f>
        <v>10</v>
      </c>
      <c r="D11" s="2" t="str">
        <f>IF('Input-EWEMs'!$D21="", "", 'Input-EWEMs'!D21)</f>
        <v>Water and sewer conservation</v>
      </c>
      <c r="E11" s="2" t="str">
        <f>IF('Input-EWEMs'!$D21="", "", IFERROR(INDEX('Reference-MeasureList'!$Q$7:$Q$10,MATCH('Input-EWEMs'!E21,'Reference-MeasureList'!$P$7:$P$10,0)),'Input-EWEMs'!E21))</f>
        <v>Install low-flow kitchen faucets/aerators</v>
      </c>
      <c r="F11" s="2" t="str">
        <f>IF('Input-EWEMs'!$D21="", "", 'Input-EWEMs'!F21)</f>
        <v>Install 129 low-flow 1.5 GPM kitchen faucet aerators.</v>
      </c>
      <c r="G11" s="2" t="str">
        <f>IF('Input-EWEMs'!$D21="", "", 'Input-EWEMs'!G21)</f>
        <v>Apartments</v>
      </c>
      <c r="H11" s="2">
        <f>IF('Input-EWEMs'!$H21="", "", 'Input-EWEMs'!H21)</f>
        <v>129</v>
      </c>
      <c r="I11" s="2">
        <f>IF('Input-EWEMs'!$I21="", "", 'Input-EWEMs'!I21)</f>
        <v>129</v>
      </c>
      <c r="J11" s="2">
        <f>IF('Input-EWEMs'!$I21="", "", I11/'DB-Properties'!$K$2)</f>
        <v>1</v>
      </c>
      <c r="K11" s="2">
        <f>IF('Input-EWEMs'!$D21="", "",ROUND('Input-EWEMs'!M21,0))</f>
        <v>1851</v>
      </c>
      <c r="L11" s="2">
        <f>IF('Input-EWEMs'!$D21="", "",SUM(O11,R11))</f>
        <v>3111</v>
      </c>
      <c r="M11" s="2">
        <f>IF('Input-EWEMs'!$D21="", "",ROUND('Input-EWEMs'!N21,0))</f>
        <v>1199</v>
      </c>
      <c r="N11" s="2">
        <f>IF('Input-EWEMs'!$D21="", "",ROUND('Input-EWEMs'!O21,0))</f>
        <v>0</v>
      </c>
      <c r="O11" s="2">
        <f>IF('Input-EWEMs'!$D21="", "",ROUND('Input-EWEMs'!P21,0))</f>
        <v>1199</v>
      </c>
      <c r="P11" s="2">
        <f>IF('Input-EWEMs'!$D21="", "",ROUND('Input-EWEMs'!Q21,0))</f>
        <v>0</v>
      </c>
      <c r="Q11" s="2">
        <f>IF('Input-EWEMs'!$D21="", "",ROUND('Input-EWEMs'!R21,0))</f>
        <v>1912</v>
      </c>
      <c r="R11" s="2">
        <f>IF('Input-EWEMs'!$D21="", "",ROUND('Input-EWEMs'!S21,0))</f>
        <v>1912</v>
      </c>
      <c r="S11" s="2">
        <f>IF('Input-EWEMs'!$D21="", "",'Input-EWEMs'!X21)</f>
        <v>0</v>
      </c>
      <c r="T11" s="2">
        <f>IF('Input-EWEMs'!$D21="", "",IFERROR(INDEX('Input-EWEMs'!$Y21:$Z21,MATCH("Natural Gas",'Input-EWEMs'!$Y$10:$Z$10,0)),0))</f>
        <v>92100</v>
      </c>
      <c r="U11" s="2">
        <f>IF('Input-EWEMs'!$D21="", "",IFERROR(INDEX('Input-EWEMs'!$Y21:$Z21,MATCH("Fuel Oil #2",'Input-EWEMs'!$Y$10:$Z$10,0)),0))</f>
        <v>0</v>
      </c>
      <c r="V11" s="2">
        <f>IF('Input-EWEMs'!$D21="", "",IFERROR(INDEX('Input-EWEMs'!$Y21:$Z21,MATCH("Fuel Oil #4",'Input-EWEMs'!$Y$10:$Z$10,0)),0))</f>
        <v>0</v>
      </c>
      <c r="W11" s="2">
        <f>IF('Input-EWEMs'!$D21="", "",IFERROR(INDEX('Input-EWEMs'!$Y21:$Z21,MATCH("Fuel Oil #6",'Input-EWEMs'!$Y$10:$Z$10,0)),0))</f>
        <v>0</v>
      </c>
      <c r="X11" s="2">
        <f>IF('Input-EWEMs'!$D21="", "",IFERROR(INDEX('Input-EWEMs'!$Y21:$Z21,MATCH("District Steam",'Input-EWEMs'!$Y$10:$Z$10,0)),0))</f>
        <v>0</v>
      </c>
      <c r="Y11" s="2">
        <f>IF('Input-EWEMs'!$D21="", "",IFERROR(INDEX('Input-EWEMs'!$Y21:$Z21,MATCH("Propane",'Input-EWEMs'!$Y$10:$Z$10,0)),0))</f>
        <v>0</v>
      </c>
      <c r="Z11" s="2">
        <f>IF('Input-EWEMs'!$D21="", "",IFERROR(INDEX('Input-EWEMs'!$Y21:$Z21,MATCH("District Hot Water",'Input-EWEMs'!$Y$10:$Z$10,0)),0))</f>
        <v>0</v>
      </c>
      <c r="AA11" s="2">
        <f>IF('Input-EWEMs'!$D21="", "",IFERROR(INDEX('Input-EWEMs'!$Y21:$Z21,MATCH("District Chilled Water",'Input-EWEMs'!$Y$10:$Z$10,0)),0))</f>
        <v>0</v>
      </c>
      <c r="AB11" s="2">
        <f>IF('Input-EWEMs'!$D21="", "",IFERROR(INDEX('Input-EWEMs'!$Y21:$Z21,MATCH("Other",'Input-EWEMs'!$Y$10:$Z$10,0)),0))</f>
        <v>0</v>
      </c>
      <c r="AC11" s="2">
        <f>IF('Input-EWEMs'!$D21="", "",'Input-EWEMs'!AA21)</f>
        <v>0</v>
      </c>
      <c r="AD11" s="2">
        <f>IF('Input-EWEMs'!$D21="", "",IFERROR(INDEX('Input-EWEMs'!$AB21:$AC21,MATCH("Natural Gas",'Input-EWEMs'!$AB$10:$AC$10,0)),0))</f>
        <v>96705</v>
      </c>
      <c r="AE11" s="2">
        <f>IF('Input-EWEMs'!$D21="", "",IFERROR(INDEX('Input-EWEMs'!$AB21:$AC21,MATCH("Fuel Oil #2",'Input-EWEMs'!$AB$10:$AC$10,0)),0))</f>
        <v>0</v>
      </c>
      <c r="AF11" s="2">
        <f>IF('Input-EWEMs'!$D21="", "",IFERROR(INDEX('Input-EWEMs'!$AB21:$AC21,MATCH("Fuel Oil #4",'Input-EWEMs'!$AB$10:$AC$10,0)),0))</f>
        <v>0</v>
      </c>
      <c r="AG11" s="2">
        <f>IF('Input-EWEMs'!$D21="", "",IFERROR(INDEX('Input-EWEMs'!$AB21:$AC21,MATCH("Fuel Oil #6",'Input-EWEMs'!$AB$10:$AC$10,0)),0))</f>
        <v>0</v>
      </c>
      <c r="AH11" s="2">
        <f>IF('Input-EWEMs'!$D21="", "",IFERROR(INDEX('Input-EWEMs'!$AB21:$AC21,MATCH("District Steam",'Input-EWEMs'!$AB$10:$AC$10,0)),0))</f>
        <v>0</v>
      </c>
      <c r="AI11" s="2">
        <f>IF('Input-EWEMs'!$D21="", "",IFERROR(INDEX('Input-EWEMs'!$AB21:$AC21,MATCH("Propane",'Input-EWEMs'!$AB$10:$AC$10,0)),0))</f>
        <v>0</v>
      </c>
      <c r="AJ11" s="2">
        <f>IF('Input-EWEMs'!$D21="", "",IFERROR(INDEX('Input-EWEMs'!$AB21:$AC21,MATCH("District Hot Water",'Input-EWEMs'!$AB$10:$AC$10,0)),0))</f>
        <v>0</v>
      </c>
      <c r="AK11" s="2">
        <f>IF('Input-EWEMs'!$D21="", "",IFERROR(INDEX('Input-EWEMs'!$AB21:$AC21,MATCH("District Chilled Water",'Input-EWEMs'!$AB$10:$AC$10,0)),0))</f>
        <v>0</v>
      </c>
      <c r="AL11" s="2">
        <f>IF('Input-EWEMs'!$D21="", "",IFERROR(INDEX('Input-EWEMs'!$AB21:$AC21,MATCH("Other",'Input-EWEMs'!$AB$10:$AC$10,0)),0))</f>
        <v>0</v>
      </c>
      <c r="AM11" s="2">
        <f>IF('Input-EWEMs'!$D21="", "",SUM(S11:AB11))</f>
        <v>92100</v>
      </c>
      <c r="AN11" s="2">
        <f>IF('Input-EWEMs'!$D21="", "",SUM(AC11:AL11))</f>
        <v>96705</v>
      </c>
      <c r="AO11" s="2">
        <f>IF('Input-EWEMs'!$D21="", "",'Input-EWEMs'!AF21)</f>
        <v>430</v>
      </c>
      <c r="AP11" s="2">
        <f>IF('Input-EWEMs'!$D21="", "",'Input-EWEMs'!AH21)</f>
        <v>1.0857204543983182E-2</v>
      </c>
      <c r="AQ11" s="2">
        <f>IF('Input-EWEMs'!$D21="", "",IFERROR(AN11/SUM('DB-Utilities'!$M$2:$M$4),""))</f>
        <v>4.8533906853211652E-3</v>
      </c>
      <c r="AR11" s="2">
        <f>IF('Input-EWEMs'!$D21="", "",'Input-EWEMs'!AJ21)</f>
        <v>5.6299420744424983E-2</v>
      </c>
      <c r="AS11" s="2">
        <f>IF('Input-EWEMs'!$D21="", "",'Input-EWEMs'!AK21)</f>
        <v>17.5</v>
      </c>
      <c r="AT11" s="2">
        <f t="shared" si="0"/>
        <v>54442.5</v>
      </c>
      <c r="AU11" s="2">
        <f>IF('Input-EWEMs'!$D21="", "",IFERROR('Input-EWEMs'!T21*INDEX(Assumptions!$H$6:$H$17,MATCH('Input-EWEMs'!T$11,Assumptions!$C$6:$C$17,0)),0)+IFERROR('Input-EWEMs'!U21*INDEX(Assumptions!$H$6:$H$17,MATCH('Input-EWEMs'!U$11,Assumptions!$C$6:$C$17,0)),0)+IFERROR('Input-EWEMs'!V21*INDEX(Assumptions!$H$6:$H$17,MATCH('Input-EWEMs'!V$11,Assumptions!$C$6:$C$17,0)),0))</f>
        <v>10783.759426769218</v>
      </c>
      <c r="AV11" s="2">
        <f>IF('Input-EWEMs'!$D21="", "",ROUND('Input-EWEMs'!K21,0))</f>
        <v>851</v>
      </c>
      <c r="AW11" s="2">
        <f>IF('Input-EWEMs'!$D21="", "",ROUND('Input-EWEMs'!L21,0))</f>
        <v>1000</v>
      </c>
    </row>
    <row r="12" spans="1:49" x14ac:dyDescent="0.2">
      <c r="A12" s="2"/>
      <c r="B12" s="2" t="str">
        <f>IF('Input-EWEMs'!D22="","",IF(COUNTIF('Input-EWEMs'!C$52:C$61,'Input-EWEMs'!C22)&lt;1,'Lender Validation'!B54,"No"))</f>
        <v>No</v>
      </c>
      <c r="C12" s="2">
        <f>IF('Input-EWEMs'!$D22="", "", 'Input-EWEMs'!C22)</f>
        <v>11</v>
      </c>
      <c r="D12" s="2" t="str">
        <f>IF('Input-EWEMs'!$D22="", "", 'Input-EWEMs'!D22)</f>
        <v>Water and sewer conservation</v>
      </c>
      <c r="E12" s="2" t="str">
        <f>IF('Input-EWEMs'!$D22="", "", IFERROR(INDEX('Reference-MeasureList'!$Q$7:$Q$10,MATCH('Input-EWEMs'!E22,'Reference-MeasureList'!$P$7:$P$10,0)),'Input-EWEMs'!E22))</f>
        <v>Install WaterSense low-flow showerheads</v>
      </c>
      <c r="F12" s="2" t="str">
        <f>IF('Input-EWEMs'!$D22="", "", 'Input-EWEMs'!F22)</f>
        <v>Install 181 low-flow 1.5 GPM WaterSense-certified showerheads.</v>
      </c>
      <c r="G12" s="2" t="str">
        <f>IF('Input-EWEMs'!$D22="", "", 'Input-EWEMs'!G22)</f>
        <v>Apartments</v>
      </c>
      <c r="H12" s="2">
        <f>IF('Input-EWEMs'!$H22="", "", 'Input-EWEMs'!H22)</f>
        <v>181</v>
      </c>
      <c r="I12" s="2">
        <f>IF('Input-EWEMs'!$I22="", "", 'Input-EWEMs'!I22)</f>
        <v>129</v>
      </c>
      <c r="J12" s="2">
        <f>IF('Input-EWEMs'!$I22="", "", I12/'DB-Properties'!$K$2)</f>
        <v>1</v>
      </c>
      <c r="K12" s="2">
        <f>IF('Input-EWEMs'!$D22="", "",ROUND('Input-EWEMs'!M22,0))</f>
        <v>6983</v>
      </c>
      <c r="L12" s="2">
        <f>IF('Input-EWEMs'!$D22="", "",SUM(O12,R12))</f>
        <v>5883</v>
      </c>
      <c r="M12" s="2">
        <f>IF('Input-EWEMs'!$D22="", "",ROUND('Input-EWEMs'!N22,0))</f>
        <v>2680</v>
      </c>
      <c r="N12" s="2">
        <f>IF('Input-EWEMs'!$D22="", "",ROUND('Input-EWEMs'!O22,0))</f>
        <v>0</v>
      </c>
      <c r="O12" s="2">
        <f>IF('Input-EWEMs'!$D22="", "",ROUND('Input-EWEMs'!P22,0))</f>
        <v>2680</v>
      </c>
      <c r="P12" s="2">
        <f>IF('Input-EWEMs'!$D22="", "",ROUND('Input-EWEMs'!Q22,0))</f>
        <v>0</v>
      </c>
      <c r="Q12" s="2">
        <f>IF('Input-EWEMs'!$D22="", "",ROUND('Input-EWEMs'!R22,0))</f>
        <v>3203</v>
      </c>
      <c r="R12" s="2">
        <f>IF('Input-EWEMs'!$D22="", "",ROUND('Input-EWEMs'!S22,0))</f>
        <v>3203</v>
      </c>
      <c r="S12" s="2">
        <f>IF('Input-EWEMs'!$D22="", "",'Input-EWEMs'!X22)</f>
        <v>0</v>
      </c>
      <c r="T12" s="2">
        <f>IF('Input-EWEMs'!$D22="", "",IFERROR(INDEX('Input-EWEMs'!$Y22:$Z22,MATCH("Natural Gas",'Input-EWEMs'!$Y$10:$Z$10,0)),0))</f>
        <v>205800</v>
      </c>
      <c r="U12" s="2">
        <f>IF('Input-EWEMs'!$D22="", "",IFERROR(INDEX('Input-EWEMs'!$Y22:$Z22,MATCH("Fuel Oil #2",'Input-EWEMs'!$Y$10:$Z$10,0)),0))</f>
        <v>0</v>
      </c>
      <c r="V12" s="2">
        <f>IF('Input-EWEMs'!$D22="", "",IFERROR(INDEX('Input-EWEMs'!$Y22:$Z22,MATCH("Fuel Oil #4",'Input-EWEMs'!$Y$10:$Z$10,0)),0))</f>
        <v>0</v>
      </c>
      <c r="W12" s="2">
        <f>IF('Input-EWEMs'!$D22="", "",IFERROR(INDEX('Input-EWEMs'!$Y22:$Z22,MATCH("Fuel Oil #6",'Input-EWEMs'!$Y$10:$Z$10,0)),0))</f>
        <v>0</v>
      </c>
      <c r="X12" s="2">
        <f>IF('Input-EWEMs'!$D22="", "",IFERROR(INDEX('Input-EWEMs'!$Y22:$Z22,MATCH("District Steam",'Input-EWEMs'!$Y$10:$Z$10,0)),0))</f>
        <v>0</v>
      </c>
      <c r="Y12" s="2">
        <f>IF('Input-EWEMs'!$D22="", "",IFERROR(INDEX('Input-EWEMs'!$Y22:$Z22,MATCH("Propane",'Input-EWEMs'!$Y$10:$Z$10,0)),0))</f>
        <v>0</v>
      </c>
      <c r="Z12" s="2">
        <f>IF('Input-EWEMs'!$D22="", "",IFERROR(INDEX('Input-EWEMs'!$Y22:$Z22,MATCH("District Hot Water",'Input-EWEMs'!$Y$10:$Z$10,0)),0))</f>
        <v>0</v>
      </c>
      <c r="AA12" s="2">
        <f>IF('Input-EWEMs'!$D22="", "",IFERROR(INDEX('Input-EWEMs'!$Y22:$Z22,MATCH("District Chilled Water",'Input-EWEMs'!$Y$10:$Z$10,0)),0))</f>
        <v>0</v>
      </c>
      <c r="AB12" s="2">
        <f>IF('Input-EWEMs'!$D22="", "",IFERROR(INDEX('Input-EWEMs'!$Y22:$Z22,MATCH("Other",'Input-EWEMs'!$Y$10:$Z$10,0)),0))</f>
        <v>0</v>
      </c>
      <c r="AC12" s="2">
        <f>IF('Input-EWEMs'!$D22="", "",'Input-EWEMs'!AA22)</f>
        <v>0</v>
      </c>
      <c r="AD12" s="2">
        <f>IF('Input-EWEMs'!$D22="", "",IFERROR(INDEX('Input-EWEMs'!$AB22:$AC22,MATCH("Natural Gas",'Input-EWEMs'!$AB$10:$AC$10,0)),0))</f>
        <v>216090</v>
      </c>
      <c r="AE12" s="2">
        <f>IF('Input-EWEMs'!$D22="", "",IFERROR(INDEX('Input-EWEMs'!$AB22:$AC22,MATCH("Fuel Oil #2",'Input-EWEMs'!$AB$10:$AC$10,0)),0))</f>
        <v>0</v>
      </c>
      <c r="AF12" s="2">
        <f>IF('Input-EWEMs'!$D22="", "",IFERROR(INDEX('Input-EWEMs'!$AB22:$AC22,MATCH("Fuel Oil #4",'Input-EWEMs'!$AB$10:$AC$10,0)),0))</f>
        <v>0</v>
      </c>
      <c r="AG12" s="2">
        <f>IF('Input-EWEMs'!$D22="", "",IFERROR(INDEX('Input-EWEMs'!$AB22:$AC22,MATCH("Fuel Oil #6",'Input-EWEMs'!$AB$10:$AC$10,0)),0))</f>
        <v>0</v>
      </c>
      <c r="AH12" s="2">
        <f>IF('Input-EWEMs'!$D22="", "",IFERROR(INDEX('Input-EWEMs'!$AB22:$AC22,MATCH("District Steam",'Input-EWEMs'!$AB$10:$AC$10,0)),0))</f>
        <v>0</v>
      </c>
      <c r="AI12" s="2">
        <f>IF('Input-EWEMs'!$D22="", "",IFERROR(INDEX('Input-EWEMs'!$AB22:$AC22,MATCH("Propane",'Input-EWEMs'!$AB$10:$AC$10,0)),0))</f>
        <v>0</v>
      </c>
      <c r="AJ12" s="2">
        <f>IF('Input-EWEMs'!$D22="", "",IFERROR(INDEX('Input-EWEMs'!$AB22:$AC22,MATCH("District Hot Water",'Input-EWEMs'!$AB$10:$AC$10,0)),0))</f>
        <v>0</v>
      </c>
      <c r="AK12" s="2">
        <f>IF('Input-EWEMs'!$D22="", "",IFERROR(INDEX('Input-EWEMs'!$AB22:$AC22,MATCH("District Chilled Water",'Input-EWEMs'!$AB$10:$AC$10,0)),0))</f>
        <v>0</v>
      </c>
      <c r="AL12" s="2">
        <f>IF('Input-EWEMs'!$D22="", "",IFERROR(INDEX('Input-EWEMs'!$AB22:$AC22,MATCH("Other",'Input-EWEMs'!$AB$10:$AC$10,0)),0))</f>
        <v>0</v>
      </c>
      <c r="AM12" s="2">
        <f>IF('Input-EWEMs'!$D22="", "",SUM(S12:AB12))</f>
        <v>205800</v>
      </c>
      <c r="AN12" s="2">
        <f>IF('Input-EWEMs'!$D22="", "",SUM(AC12:AL12))</f>
        <v>216090</v>
      </c>
      <c r="AO12" s="2">
        <f>IF('Input-EWEMs'!$D22="", "",'Input-EWEMs'!AF22)</f>
        <v>720.5</v>
      </c>
      <c r="AP12" s="2">
        <f>IF('Input-EWEMs'!$D22="", "",'Input-EWEMs'!AH22)</f>
        <v>2.4260724160170888E-2</v>
      </c>
      <c r="AQ12" s="2">
        <f>IF('Input-EWEMs'!$D22="", "",IFERROR(AN12/SUM('DB-Utilities'!$M$2:$M$4),""))</f>
        <v>1.0845035863616676E-2</v>
      </c>
      <c r="AR12" s="2">
        <f>IF('Input-EWEMs'!$D22="", "",'Input-EWEMs'!AJ22)</f>
        <v>9.433426196827488E-2</v>
      </c>
      <c r="AS12" s="2">
        <f>IF('Input-EWEMs'!$D22="", "",'Input-EWEMs'!AK22)</f>
        <v>17.5</v>
      </c>
      <c r="AT12" s="2">
        <f t="shared" si="0"/>
        <v>102952.5</v>
      </c>
      <c r="AU12" s="2">
        <f>IF('Input-EWEMs'!$D22="", "",IFERROR('Input-EWEMs'!T22*INDEX(Assumptions!$H$6:$H$17,MATCH('Input-EWEMs'!T$11,Assumptions!$C$6:$C$17,0)),0)+IFERROR('Input-EWEMs'!U22*INDEX(Assumptions!$H$6:$H$17,MATCH('Input-EWEMs'!U$11,Assumptions!$C$6:$C$17,0)),0)+IFERROR('Input-EWEMs'!V22*INDEX(Assumptions!$H$6:$H$17,MATCH('Input-EWEMs'!V$11,Assumptions!$C$6:$C$17,0)),0))</f>
        <v>24096.609012259556</v>
      </c>
      <c r="AV12" s="2">
        <f>IF('Input-EWEMs'!$D22="", "",ROUND('Input-EWEMs'!K22,0))</f>
        <v>5973</v>
      </c>
      <c r="AW12" s="2">
        <f>IF('Input-EWEMs'!$D22="", "",ROUND('Input-EWEMs'!L22,0))</f>
        <v>1010</v>
      </c>
    </row>
    <row r="13" spans="1:49" x14ac:dyDescent="0.2">
      <c r="A13" s="2"/>
      <c r="B13" s="2" t="str">
        <f>IF('Input-EWEMs'!D23="","",IF(COUNTIF('Input-EWEMs'!C$52:C$61,'Input-EWEMs'!C23)&lt;1,'Lender Validation'!B55,"No"))</f>
        <v>No</v>
      </c>
      <c r="C13" s="2">
        <f>IF('Input-EWEMs'!$D23="", "", 'Input-EWEMs'!C23)</f>
        <v>12</v>
      </c>
      <c r="D13" s="2" t="str">
        <f>IF('Input-EWEMs'!$D23="", "", 'Input-EWEMs'!D23)</f>
        <v>Water and sewer conservation</v>
      </c>
      <c r="E13" s="2" t="str">
        <f>IF('Input-EWEMs'!$D23="", "", IFERROR(INDEX('Reference-MeasureList'!$Q$7:$Q$10,MATCH('Input-EWEMs'!E23,'Reference-MeasureList'!$P$7:$P$10,0)),'Input-EWEMs'!E23))</f>
        <v>Install WaterSense low-flush toilets</v>
      </c>
      <c r="F13" s="2" t="str">
        <f>IF('Input-EWEMs'!$D23="", "", 'Input-EWEMs'!F23)</f>
        <v>Install 235 0.8 GPF WaterSense-certified toilets.</v>
      </c>
      <c r="G13" s="2" t="str">
        <f>IF('Input-EWEMs'!$D23="", "", 'Input-EWEMs'!G23)</f>
        <v>Apartments</v>
      </c>
      <c r="H13" s="2">
        <f>IF('Input-EWEMs'!$H23="", "", 'Input-EWEMs'!H23)</f>
        <v>235</v>
      </c>
      <c r="I13" s="2">
        <f>IF('Input-EWEMs'!$I23="", "", 'Input-EWEMs'!I23)</f>
        <v>129</v>
      </c>
      <c r="J13" s="2">
        <f>IF('Input-EWEMs'!$I23="", "", I13/'DB-Properties'!$K$2)</f>
        <v>1</v>
      </c>
      <c r="K13" s="2">
        <f>IF('Input-EWEMs'!$D23="", "",ROUND('Input-EWEMs'!M23,0))</f>
        <v>53675</v>
      </c>
      <c r="L13" s="2">
        <f>IF('Input-EWEMs'!$D23="", "",SUM(O13,R13))</f>
        <v>6224</v>
      </c>
      <c r="M13" s="2">
        <f>IF('Input-EWEMs'!$D23="", "",ROUND('Input-EWEMs'!N23,0))</f>
        <v>0</v>
      </c>
      <c r="N13" s="2">
        <f>IF('Input-EWEMs'!$D23="", "",ROUND('Input-EWEMs'!O23,0))</f>
        <v>0</v>
      </c>
      <c r="O13" s="2">
        <f>IF('Input-EWEMs'!$D23="", "",ROUND('Input-EWEMs'!P23,0))</f>
        <v>0</v>
      </c>
      <c r="P13" s="2">
        <f>IF('Input-EWEMs'!$D23="", "",ROUND('Input-EWEMs'!Q23,0))</f>
        <v>0</v>
      </c>
      <c r="Q13" s="2">
        <f>IF('Input-EWEMs'!$D23="", "",ROUND('Input-EWEMs'!R23,0))</f>
        <v>6224</v>
      </c>
      <c r="R13" s="2">
        <f>IF('Input-EWEMs'!$D23="", "",ROUND('Input-EWEMs'!S23,0))</f>
        <v>6224</v>
      </c>
      <c r="S13" s="2">
        <f>IF('Input-EWEMs'!$D23="", "",'Input-EWEMs'!X23)</f>
        <v>0</v>
      </c>
      <c r="T13" s="2">
        <f>IF('Input-EWEMs'!$D23="", "",IFERROR(INDEX('Input-EWEMs'!$Y23:$Z23,MATCH("Natural Gas",'Input-EWEMs'!$Y$10:$Z$10,0)),0))</f>
        <v>0</v>
      </c>
      <c r="U13" s="2">
        <f>IF('Input-EWEMs'!$D23="", "",IFERROR(INDEX('Input-EWEMs'!$Y23:$Z23,MATCH("Fuel Oil #2",'Input-EWEMs'!$Y$10:$Z$10,0)),0))</f>
        <v>0</v>
      </c>
      <c r="V13" s="2">
        <f>IF('Input-EWEMs'!$D23="", "",IFERROR(INDEX('Input-EWEMs'!$Y23:$Z23,MATCH("Fuel Oil #4",'Input-EWEMs'!$Y$10:$Z$10,0)),0))</f>
        <v>0</v>
      </c>
      <c r="W13" s="2">
        <f>IF('Input-EWEMs'!$D23="", "",IFERROR(INDEX('Input-EWEMs'!$Y23:$Z23,MATCH("Fuel Oil #6",'Input-EWEMs'!$Y$10:$Z$10,0)),0))</f>
        <v>0</v>
      </c>
      <c r="X13" s="2">
        <f>IF('Input-EWEMs'!$D23="", "",IFERROR(INDEX('Input-EWEMs'!$Y23:$Z23,MATCH("District Steam",'Input-EWEMs'!$Y$10:$Z$10,0)),0))</f>
        <v>0</v>
      </c>
      <c r="Y13" s="2">
        <f>IF('Input-EWEMs'!$D23="", "",IFERROR(INDEX('Input-EWEMs'!$Y23:$Z23,MATCH("Propane",'Input-EWEMs'!$Y$10:$Z$10,0)),0))</f>
        <v>0</v>
      </c>
      <c r="Z13" s="2">
        <f>IF('Input-EWEMs'!$D23="", "",IFERROR(INDEX('Input-EWEMs'!$Y23:$Z23,MATCH("District Hot Water",'Input-EWEMs'!$Y$10:$Z$10,0)),0))</f>
        <v>0</v>
      </c>
      <c r="AA13" s="2">
        <f>IF('Input-EWEMs'!$D23="", "",IFERROR(INDEX('Input-EWEMs'!$Y23:$Z23,MATCH("District Chilled Water",'Input-EWEMs'!$Y$10:$Z$10,0)),0))</f>
        <v>0</v>
      </c>
      <c r="AB13" s="2">
        <f>IF('Input-EWEMs'!$D23="", "",IFERROR(INDEX('Input-EWEMs'!$Y23:$Z23,MATCH("Other",'Input-EWEMs'!$Y$10:$Z$10,0)),0))</f>
        <v>0</v>
      </c>
      <c r="AC13" s="2">
        <f>IF('Input-EWEMs'!$D23="", "",'Input-EWEMs'!AA23)</f>
        <v>0</v>
      </c>
      <c r="AD13" s="2">
        <f>IF('Input-EWEMs'!$D23="", "",IFERROR(INDEX('Input-EWEMs'!$AB23:$AC23,MATCH("Natural Gas",'Input-EWEMs'!$AB$10:$AC$10,0)),0))</f>
        <v>0</v>
      </c>
      <c r="AE13" s="2">
        <f>IF('Input-EWEMs'!$D23="", "",IFERROR(INDEX('Input-EWEMs'!$AB23:$AC23,MATCH("Fuel Oil #2",'Input-EWEMs'!$AB$10:$AC$10,0)),0))</f>
        <v>0</v>
      </c>
      <c r="AF13" s="2">
        <f>IF('Input-EWEMs'!$D23="", "",IFERROR(INDEX('Input-EWEMs'!$AB23:$AC23,MATCH("Fuel Oil #4",'Input-EWEMs'!$AB$10:$AC$10,0)),0))</f>
        <v>0</v>
      </c>
      <c r="AG13" s="2">
        <f>IF('Input-EWEMs'!$D23="", "",IFERROR(INDEX('Input-EWEMs'!$AB23:$AC23,MATCH("Fuel Oil #6",'Input-EWEMs'!$AB$10:$AC$10,0)),0))</f>
        <v>0</v>
      </c>
      <c r="AH13" s="2">
        <f>IF('Input-EWEMs'!$D23="", "",IFERROR(INDEX('Input-EWEMs'!$AB23:$AC23,MATCH("District Steam",'Input-EWEMs'!$AB$10:$AC$10,0)),0))</f>
        <v>0</v>
      </c>
      <c r="AI13" s="2">
        <f>IF('Input-EWEMs'!$D23="", "",IFERROR(INDEX('Input-EWEMs'!$AB23:$AC23,MATCH("Propane",'Input-EWEMs'!$AB$10:$AC$10,0)),0))</f>
        <v>0</v>
      </c>
      <c r="AJ13" s="2">
        <f>IF('Input-EWEMs'!$D23="", "",IFERROR(INDEX('Input-EWEMs'!$AB23:$AC23,MATCH("District Hot Water",'Input-EWEMs'!$AB$10:$AC$10,0)),0))</f>
        <v>0</v>
      </c>
      <c r="AK13" s="2">
        <f>IF('Input-EWEMs'!$D23="", "",IFERROR(INDEX('Input-EWEMs'!$AB23:$AC23,MATCH("District Chilled Water",'Input-EWEMs'!$AB$10:$AC$10,0)),0))</f>
        <v>0</v>
      </c>
      <c r="AL13" s="2">
        <f>IF('Input-EWEMs'!$D23="", "",IFERROR(INDEX('Input-EWEMs'!$AB23:$AC23,MATCH("Other",'Input-EWEMs'!$AB$10:$AC$10,0)),0))</f>
        <v>0</v>
      </c>
      <c r="AM13" s="2">
        <f>IF('Input-EWEMs'!$D23="", "",SUM(S13:AB13))</f>
        <v>0</v>
      </c>
      <c r="AN13" s="2">
        <f>IF('Input-EWEMs'!$D23="", "",SUM(AC13:AL13))</f>
        <v>0</v>
      </c>
      <c r="AO13" s="2">
        <f>IF('Input-EWEMs'!$D23="", "",'Input-EWEMs'!AF23)</f>
        <v>1400</v>
      </c>
      <c r="AP13" s="2">
        <f>IF('Input-EWEMs'!$D23="", "",'Input-EWEMs'!AH23)</f>
        <v>0</v>
      </c>
      <c r="AQ13" s="2">
        <f>IF('Input-EWEMs'!$D23="", "",IFERROR(AN13/SUM('DB-Utilities'!$M$2:$M$4),""))</f>
        <v>0</v>
      </c>
      <c r="AR13" s="2">
        <f>IF('Input-EWEMs'!$D23="", "",'Input-EWEMs'!AJ23)</f>
        <v>0.18330043963301157</v>
      </c>
      <c r="AS13" s="2">
        <f>IF('Input-EWEMs'!$D23="", "",'Input-EWEMs'!AK23)</f>
        <v>50</v>
      </c>
      <c r="AT13" s="2">
        <f t="shared" si="0"/>
        <v>311200</v>
      </c>
      <c r="AU13" s="2">
        <f>IF('Input-EWEMs'!$D23="", "",IFERROR('Input-EWEMs'!T23*INDEX(Assumptions!$H$6:$H$17,MATCH('Input-EWEMs'!T$11,Assumptions!$C$6:$C$17,0)),0)+IFERROR('Input-EWEMs'!U23*INDEX(Assumptions!$H$6:$H$17,MATCH('Input-EWEMs'!U$11,Assumptions!$C$6:$C$17,0)),0)+IFERROR('Input-EWEMs'!V23*INDEX(Assumptions!$H$6:$H$17,MATCH('Input-EWEMs'!V$11,Assumptions!$C$6:$C$17,0)),0))</f>
        <v>0</v>
      </c>
      <c r="AV13" s="2">
        <f>IF('Input-EWEMs'!$D23="", "",ROUND('Input-EWEMs'!K23,0))</f>
        <v>50000</v>
      </c>
      <c r="AW13" s="2">
        <f>IF('Input-EWEMs'!$D23="", "",ROUND('Input-EWEMs'!L23,0))</f>
        <v>3675</v>
      </c>
    </row>
    <row r="14" spans="1:49" x14ac:dyDescent="0.2">
      <c r="A14" s="2"/>
      <c r="B14" s="2" t="str">
        <f>IF('Input-EWEMs'!D24="","",IF(COUNTIF('Input-EWEMs'!C$52:C$61,'Input-EWEMs'!C24)&lt;1,'Lender Validation'!B56,"No"))</f>
        <v>No</v>
      </c>
      <c r="C14" s="2">
        <f>IF('Input-EWEMs'!$D24="", "", 'Input-EWEMs'!C24)</f>
        <v>13</v>
      </c>
      <c r="D14" s="2" t="str">
        <f>IF('Input-EWEMs'!$D24="", "", 'Input-EWEMs'!D24)</f>
        <v>Electric motors and drives</v>
      </c>
      <c r="E14" s="2" t="str">
        <f>IF('Input-EWEMs'!$D24="", "", IFERROR(INDEX('Reference-MeasureList'!$Q$7:$Q$10,MATCH('Input-EWEMs'!E24,'Reference-MeasureList'!$P$7:$P$10,0)),'Input-EWEMs'!E24))</f>
        <v>Add VSD motor controller</v>
      </c>
      <c r="F14" s="2" t="str">
        <f>IF('Input-EWEMs'!$D24="", "", 'Input-EWEMs'!F24)</f>
        <v>Upgrade existing 5-HP continuous-speed pool pump to VSD-controlled pool pump.</v>
      </c>
      <c r="G14" s="2" t="str">
        <f>IF('Input-EWEMs'!$D24="", "", 'Input-EWEMs'!G24)</f>
        <v>Common area</v>
      </c>
      <c r="H14" s="2">
        <f>IF('Input-EWEMs'!$H24="", "", 'Input-EWEMs'!H24)</f>
        <v>1</v>
      </c>
      <c r="I14" s="2">
        <f>IF('Input-EWEMs'!$I24="", "", 'Input-EWEMs'!I24)</f>
        <v>0</v>
      </c>
      <c r="J14" s="2">
        <f>IF('Input-EWEMs'!$I24="", "", I14/'DB-Properties'!$K$2)</f>
        <v>0</v>
      </c>
      <c r="K14" s="2">
        <f>IF('Input-EWEMs'!$D24="", "",ROUND('Input-EWEMs'!M24,0))</f>
        <v>2000</v>
      </c>
      <c r="L14" s="2">
        <f>IF('Input-EWEMs'!$D24="", "",SUM(O14,R14))</f>
        <v>229</v>
      </c>
      <c r="M14" s="2">
        <f>IF('Input-EWEMs'!$D24="", "",ROUND('Input-EWEMs'!N24,0))</f>
        <v>229</v>
      </c>
      <c r="N14" s="2">
        <f>IF('Input-EWEMs'!$D24="", "",ROUND('Input-EWEMs'!O24,0))</f>
        <v>0</v>
      </c>
      <c r="O14" s="2">
        <f>IF('Input-EWEMs'!$D24="", "",ROUND('Input-EWEMs'!P24,0))</f>
        <v>229</v>
      </c>
      <c r="P14" s="2">
        <f>IF('Input-EWEMs'!$D24="", "",ROUND('Input-EWEMs'!Q24,0))</f>
        <v>0</v>
      </c>
      <c r="Q14" s="2">
        <f>IF('Input-EWEMs'!$D24="", "",ROUND('Input-EWEMs'!R24,0))</f>
        <v>0</v>
      </c>
      <c r="R14" s="2">
        <f>IF('Input-EWEMs'!$D24="", "",ROUND('Input-EWEMs'!S24,0))</f>
        <v>0</v>
      </c>
      <c r="S14" s="2">
        <f>IF('Input-EWEMs'!$D24="", "",'Input-EWEMs'!X24)</f>
        <v>7434.7479999999996</v>
      </c>
      <c r="T14" s="2">
        <f>IF('Input-EWEMs'!$D24="", "",IFERROR(INDEX('Input-EWEMs'!$Y24:$Z24,MATCH("Natural Gas",'Input-EWEMs'!$Y$10:$Z$10,0)),0))</f>
        <v>0</v>
      </c>
      <c r="U14" s="2">
        <f>IF('Input-EWEMs'!$D24="", "",IFERROR(INDEX('Input-EWEMs'!$Y24:$Z24,MATCH("Fuel Oil #2",'Input-EWEMs'!$Y$10:$Z$10,0)),0))</f>
        <v>0</v>
      </c>
      <c r="V14" s="2">
        <f>IF('Input-EWEMs'!$D24="", "",IFERROR(INDEX('Input-EWEMs'!$Y24:$Z24,MATCH("Fuel Oil #4",'Input-EWEMs'!$Y$10:$Z$10,0)),0))</f>
        <v>0</v>
      </c>
      <c r="W14" s="2">
        <f>IF('Input-EWEMs'!$D24="", "",IFERROR(INDEX('Input-EWEMs'!$Y24:$Z24,MATCH("Fuel Oil #6",'Input-EWEMs'!$Y$10:$Z$10,0)),0))</f>
        <v>0</v>
      </c>
      <c r="X14" s="2">
        <f>IF('Input-EWEMs'!$D24="", "",IFERROR(INDEX('Input-EWEMs'!$Y24:$Z24,MATCH("District Steam",'Input-EWEMs'!$Y$10:$Z$10,0)),0))</f>
        <v>0</v>
      </c>
      <c r="Y14" s="2">
        <f>IF('Input-EWEMs'!$D24="", "",IFERROR(INDEX('Input-EWEMs'!$Y24:$Z24,MATCH("Propane",'Input-EWEMs'!$Y$10:$Z$10,0)),0))</f>
        <v>0</v>
      </c>
      <c r="Z14" s="2">
        <f>IF('Input-EWEMs'!$D24="", "",IFERROR(INDEX('Input-EWEMs'!$Y24:$Z24,MATCH("District Hot Water",'Input-EWEMs'!$Y$10:$Z$10,0)),0))</f>
        <v>0</v>
      </c>
      <c r="AA14" s="2">
        <f>IF('Input-EWEMs'!$D24="", "",IFERROR(INDEX('Input-EWEMs'!$Y24:$Z24,MATCH("District Chilled Water",'Input-EWEMs'!$Y$10:$Z$10,0)),0))</f>
        <v>0</v>
      </c>
      <c r="AB14" s="2">
        <f>IF('Input-EWEMs'!$D24="", "",IFERROR(INDEX('Input-EWEMs'!$Y24:$Z24,MATCH("Other",'Input-EWEMs'!$Y$10:$Z$10,0)),0))</f>
        <v>0</v>
      </c>
      <c r="AC14" s="2">
        <f>IF('Input-EWEMs'!$D24="", "",'Input-EWEMs'!AA24)</f>
        <v>20817.294399999999</v>
      </c>
      <c r="AD14" s="2">
        <f>IF('Input-EWEMs'!$D24="", "",IFERROR(INDEX('Input-EWEMs'!$AB24:$AC24,MATCH("Natural Gas",'Input-EWEMs'!$AB$10:$AC$10,0)),0))</f>
        <v>0</v>
      </c>
      <c r="AE14" s="2">
        <f>IF('Input-EWEMs'!$D24="", "",IFERROR(INDEX('Input-EWEMs'!$AB24:$AC24,MATCH("Fuel Oil #2",'Input-EWEMs'!$AB$10:$AC$10,0)),0))</f>
        <v>0</v>
      </c>
      <c r="AF14" s="2">
        <f>IF('Input-EWEMs'!$D24="", "",IFERROR(INDEX('Input-EWEMs'!$AB24:$AC24,MATCH("Fuel Oil #4",'Input-EWEMs'!$AB$10:$AC$10,0)),0))</f>
        <v>0</v>
      </c>
      <c r="AG14" s="2">
        <f>IF('Input-EWEMs'!$D24="", "",IFERROR(INDEX('Input-EWEMs'!$AB24:$AC24,MATCH("Fuel Oil #6",'Input-EWEMs'!$AB$10:$AC$10,0)),0))</f>
        <v>0</v>
      </c>
      <c r="AH14" s="2">
        <f>IF('Input-EWEMs'!$D24="", "",IFERROR(INDEX('Input-EWEMs'!$AB24:$AC24,MATCH("District Steam",'Input-EWEMs'!$AB$10:$AC$10,0)),0))</f>
        <v>0</v>
      </c>
      <c r="AI14" s="2">
        <f>IF('Input-EWEMs'!$D24="", "",IFERROR(INDEX('Input-EWEMs'!$AB24:$AC24,MATCH("Propane",'Input-EWEMs'!$AB$10:$AC$10,0)),0))</f>
        <v>0</v>
      </c>
      <c r="AJ14" s="2">
        <f>IF('Input-EWEMs'!$D24="", "",IFERROR(INDEX('Input-EWEMs'!$AB24:$AC24,MATCH("District Hot Water",'Input-EWEMs'!$AB$10:$AC$10,0)),0))</f>
        <v>0</v>
      </c>
      <c r="AK14" s="2">
        <f>IF('Input-EWEMs'!$D24="", "",IFERROR(INDEX('Input-EWEMs'!$AB24:$AC24,MATCH("District Chilled Water",'Input-EWEMs'!$AB$10:$AC$10,0)),0))</f>
        <v>0</v>
      </c>
      <c r="AL14" s="2">
        <f>IF('Input-EWEMs'!$D24="", "",IFERROR(INDEX('Input-EWEMs'!$AB24:$AC24,MATCH("Other",'Input-EWEMs'!$AB$10:$AC$10,0)),0))</f>
        <v>0</v>
      </c>
      <c r="AM14" s="2">
        <f>IF('Input-EWEMs'!$D24="", "",SUM(S14:AB14))</f>
        <v>7434.7479999999996</v>
      </c>
      <c r="AN14" s="2">
        <f>IF('Input-EWEMs'!$D24="", "",SUM(AC14:AL14))</f>
        <v>20817.294399999999</v>
      </c>
      <c r="AO14" s="2">
        <f>IF('Input-EWEMs'!$D24="", "",'Input-EWEMs'!AF24)</f>
        <v>0</v>
      </c>
      <c r="AP14" s="2">
        <f>IF('Input-EWEMs'!$D24="", "",'Input-EWEMs'!AH24)</f>
        <v>8.764449486315946E-4</v>
      </c>
      <c r="AQ14" s="2">
        <f>IF('Input-EWEMs'!$D24="", "",IFERROR(AN14/SUM('DB-Utilities'!$M$2:$M$4),""))</f>
        <v>1.044769791991608E-3</v>
      </c>
      <c r="AR14" s="2">
        <f>IF('Input-EWEMs'!$D24="", "",'Input-EWEMs'!AJ24)</f>
        <v>0</v>
      </c>
      <c r="AS14" s="2">
        <f>IF('Input-EWEMs'!$D24="", "",'Input-EWEMs'!AK24)</f>
        <v>15</v>
      </c>
      <c r="AT14" s="2">
        <f t="shared" si="0"/>
        <v>3435</v>
      </c>
      <c r="AU14" s="2">
        <f>IF('Input-EWEMs'!$D24="", "",IFERROR('Input-EWEMs'!T24*INDEX(Assumptions!$H$6:$H$17,MATCH('Input-EWEMs'!T$11,Assumptions!$C$6:$C$17,0)),0)+IFERROR('Input-EWEMs'!U24*INDEX(Assumptions!$H$6:$H$17,MATCH('Input-EWEMs'!U$11,Assumptions!$C$6:$C$17,0)),0)+IFERROR('Input-EWEMs'!V24*INDEX(Assumptions!$H$6:$H$17,MATCH('Input-EWEMs'!V$11,Assumptions!$C$6:$C$17,0)),0))</f>
        <v>1792.3354687783535</v>
      </c>
      <c r="AV14" s="2">
        <f>IF('Input-EWEMs'!$D24="", "",ROUND('Input-EWEMs'!K24,0))</f>
        <v>1500</v>
      </c>
      <c r="AW14" s="2">
        <f>IF('Input-EWEMs'!$D24="", "",ROUND('Input-EWEMs'!L24,0))</f>
        <v>500</v>
      </c>
    </row>
    <row r="15" spans="1:49" x14ac:dyDescent="0.2">
      <c r="A15" s="2"/>
      <c r="B15" s="2" t="str">
        <f>IF('Input-EWEMs'!D25="","",IF(COUNTIF('Input-EWEMs'!C$52:C$61,'Input-EWEMs'!C25)&lt;1,'Lender Validation'!B57,"No"))</f>
        <v>Yes</v>
      </c>
      <c r="C15" s="2">
        <f>IF('Input-EWEMs'!$D25="", "", 'Input-EWEMs'!C25)</f>
        <v>14</v>
      </c>
      <c r="D15" s="2" t="str">
        <f>IF('Input-EWEMs'!$D25="", "", 'Input-EWEMs'!D25)</f>
        <v>Renewable energy systems</v>
      </c>
      <c r="E15" s="2" t="str">
        <f>IF('Input-EWEMs'!$D25="", "", IFERROR(INDEX('Reference-MeasureList'!$Q$7:$Q$10,MATCH('Input-EWEMs'!E25,'Reference-MeasureList'!$P$7:$P$10,0)),'Input-EWEMs'!E25))</f>
        <v>Install photovoltaic system</v>
      </c>
      <c r="F15" s="2" t="str">
        <f>IF('Input-EWEMs'!$D25="", "", 'Input-EWEMs'!F25)</f>
        <v>Install grid-tied 850.8 kW Solar PV system comprised of 520.8 kW roof-mounted (non-ballasted) and 330 kW canopy-mounted arrays. Selective tree trimming and roof replacement must be included.</v>
      </c>
      <c r="G15" s="2" t="str">
        <f>IF('Input-EWEMs'!$D25="", "", 'Input-EWEMs'!G25)</f>
        <v>Common area</v>
      </c>
      <c r="H15" s="2">
        <f>IF('Input-EWEMs'!$H25="", "", 'Input-EWEMs'!H25)</f>
        <v>1</v>
      </c>
      <c r="I15" s="2">
        <f>IF('Input-EWEMs'!$I25="", "", 'Input-EWEMs'!I25)</f>
        <v>0</v>
      </c>
      <c r="J15" s="2">
        <f>IF('Input-EWEMs'!$I25="", "", I15/'DB-Properties'!$K$2)</f>
        <v>0</v>
      </c>
      <c r="K15" s="2">
        <f>IF('Input-EWEMs'!$D25="", "",ROUND('Input-EWEMs'!M25,0))</f>
        <v>2537077</v>
      </c>
      <c r="L15" s="2">
        <f>IF('Input-EWEMs'!$D25="", "",SUM(O15,R15))</f>
        <v>156682</v>
      </c>
      <c r="M15" s="2">
        <f>IF('Input-EWEMs'!$D25="", "",ROUND('Input-EWEMs'!N25,0))</f>
        <v>156682</v>
      </c>
      <c r="N15" s="2">
        <f>IF('Input-EWEMs'!$D25="", "",ROUND('Input-EWEMs'!O25,0))</f>
        <v>0</v>
      </c>
      <c r="O15" s="2">
        <f>IF('Input-EWEMs'!$D25="", "",ROUND('Input-EWEMs'!P25,0))</f>
        <v>156682</v>
      </c>
      <c r="P15" s="2">
        <f>IF('Input-EWEMs'!$D25="", "",ROUND('Input-EWEMs'!Q25,0))</f>
        <v>0</v>
      </c>
      <c r="Q15" s="2">
        <f>IF('Input-EWEMs'!$D25="", "",ROUND('Input-EWEMs'!R25,0))</f>
        <v>0</v>
      </c>
      <c r="R15" s="2">
        <f>IF('Input-EWEMs'!$D25="", "",ROUND('Input-EWEMs'!S25,0))</f>
        <v>0</v>
      </c>
      <c r="S15" s="2">
        <f>IF('Input-EWEMs'!$D25="", "",'Input-EWEMs'!X25)</f>
        <v>5095241.96</v>
      </c>
      <c r="T15" s="2">
        <f>IF('Input-EWEMs'!$D25="", "",IFERROR(INDEX('Input-EWEMs'!$Y25:$Z25,MATCH("Natural Gas",'Input-EWEMs'!$Y$10:$Z$10,0)),0))</f>
        <v>0</v>
      </c>
      <c r="U15" s="2">
        <f>IF('Input-EWEMs'!$D25="", "",IFERROR(INDEX('Input-EWEMs'!$Y25:$Z25,MATCH("Fuel Oil #2",'Input-EWEMs'!$Y$10:$Z$10,0)),0))</f>
        <v>0</v>
      </c>
      <c r="V15" s="2">
        <f>IF('Input-EWEMs'!$D25="", "",IFERROR(INDEX('Input-EWEMs'!$Y25:$Z25,MATCH("Fuel Oil #4",'Input-EWEMs'!$Y$10:$Z$10,0)),0))</f>
        <v>0</v>
      </c>
      <c r="W15" s="2">
        <f>IF('Input-EWEMs'!$D25="", "",IFERROR(INDEX('Input-EWEMs'!$Y25:$Z25,MATCH("Fuel Oil #6",'Input-EWEMs'!$Y$10:$Z$10,0)),0))</f>
        <v>0</v>
      </c>
      <c r="X15" s="2">
        <f>IF('Input-EWEMs'!$D25="", "",IFERROR(INDEX('Input-EWEMs'!$Y25:$Z25,MATCH("District Steam",'Input-EWEMs'!$Y$10:$Z$10,0)),0))</f>
        <v>0</v>
      </c>
      <c r="Y15" s="2">
        <f>IF('Input-EWEMs'!$D25="", "",IFERROR(INDEX('Input-EWEMs'!$Y25:$Z25,MATCH("Propane",'Input-EWEMs'!$Y$10:$Z$10,0)),0))</f>
        <v>0</v>
      </c>
      <c r="Z15" s="2">
        <f>IF('Input-EWEMs'!$D25="", "",IFERROR(INDEX('Input-EWEMs'!$Y25:$Z25,MATCH("District Hot Water",'Input-EWEMs'!$Y$10:$Z$10,0)),0))</f>
        <v>0</v>
      </c>
      <c r="AA15" s="2">
        <f>IF('Input-EWEMs'!$D25="", "",IFERROR(INDEX('Input-EWEMs'!$Y25:$Z25,MATCH("District Chilled Water",'Input-EWEMs'!$Y$10:$Z$10,0)),0))</f>
        <v>0</v>
      </c>
      <c r="AB15" s="2">
        <f>IF('Input-EWEMs'!$D25="", "",IFERROR(INDEX('Input-EWEMs'!$Y25:$Z25,MATCH("Other",'Input-EWEMs'!$Y$10:$Z$10,0)),0))</f>
        <v>0</v>
      </c>
      <c r="AC15" s="2">
        <f>IF('Input-EWEMs'!$D25="", "",'Input-EWEMs'!AA25)</f>
        <v>14266677.488</v>
      </c>
      <c r="AD15" s="2">
        <f>IF('Input-EWEMs'!$D25="", "",IFERROR(INDEX('Input-EWEMs'!$AB25:$AC25,MATCH("Natural Gas",'Input-EWEMs'!$AB$10:$AC$10,0)),0))</f>
        <v>0</v>
      </c>
      <c r="AE15" s="2">
        <f>IF('Input-EWEMs'!$D25="", "",IFERROR(INDEX('Input-EWEMs'!$AB25:$AC25,MATCH("Fuel Oil #2",'Input-EWEMs'!$AB$10:$AC$10,0)),0))</f>
        <v>0</v>
      </c>
      <c r="AF15" s="2">
        <f>IF('Input-EWEMs'!$D25="", "",IFERROR(INDEX('Input-EWEMs'!$AB25:$AC25,MATCH("Fuel Oil #4",'Input-EWEMs'!$AB$10:$AC$10,0)),0))</f>
        <v>0</v>
      </c>
      <c r="AG15" s="2">
        <f>IF('Input-EWEMs'!$D25="", "",IFERROR(INDEX('Input-EWEMs'!$AB25:$AC25,MATCH("Fuel Oil #6",'Input-EWEMs'!$AB$10:$AC$10,0)),0))</f>
        <v>0</v>
      </c>
      <c r="AH15" s="2">
        <f>IF('Input-EWEMs'!$D25="", "",IFERROR(INDEX('Input-EWEMs'!$AB25:$AC25,MATCH("District Steam",'Input-EWEMs'!$AB$10:$AC$10,0)),0))</f>
        <v>0</v>
      </c>
      <c r="AI15" s="2">
        <f>IF('Input-EWEMs'!$D25="", "",IFERROR(INDEX('Input-EWEMs'!$AB25:$AC25,MATCH("Propane",'Input-EWEMs'!$AB$10:$AC$10,0)),0))</f>
        <v>0</v>
      </c>
      <c r="AJ15" s="2">
        <f>IF('Input-EWEMs'!$D25="", "",IFERROR(INDEX('Input-EWEMs'!$AB25:$AC25,MATCH("District Hot Water",'Input-EWEMs'!$AB$10:$AC$10,0)),0))</f>
        <v>0</v>
      </c>
      <c r="AK15" s="2">
        <f>IF('Input-EWEMs'!$D25="", "",IFERROR(INDEX('Input-EWEMs'!$AB25:$AC25,MATCH("District Chilled Water",'Input-EWEMs'!$AB$10:$AC$10,0)),0))</f>
        <v>0</v>
      </c>
      <c r="AL15" s="2">
        <f>IF('Input-EWEMs'!$D25="", "",IFERROR(INDEX('Input-EWEMs'!$AB25:$AC25,MATCH("Other",'Input-EWEMs'!$AB$10:$AC$10,0)),0))</f>
        <v>0</v>
      </c>
      <c r="AM15" s="2">
        <f>IF('Input-EWEMs'!$D25="", "",SUM(S15:AB15))</f>
        <v>5095241.96</v>
      </c>
      <c r="AN15" s="2">
        <f>IF('Input-EWEMs'!$D25="", "",SUM(AC15:AL15))</f>
        <v>14266677.488</v>
      </c>
      <c r="AO15" s="2">
        <f>IF('Input-EWEMs'!$D25="", "",'Input-EWEMs'!AF25)</f>
        <v>0</v>
      </c>
      <c r="AP15" s="2">
        <f>IF('Input-EWEMs'!$D25="", "",'Input-EWEMs'!AH25)</f>
        <v>0.60065237959615392</v>
      </c>
      <c r="AQ15" s="2">
        <f>IF('Input-EWEMs'!$D25="", "",IFERROR(AN15/SUM('DB-Utilities'!$M$2:$M$4),""))</f>
        <v>0.71601013009400094</v>
      </c>
      <c r="AR15" s="2">
        <f>IF('Input-EWEMs'!$D25="", "",'Input-EWEMs'!AJ25)</f>
        <v>0</v>
      </c>
      <c r="AS15" s="2">
        <f>IF('Input-EWEMs'!$D25="", "",'Input-EWEMs'!AK25)</f>
        <v>25</v>
      </c>
      <c r="AT15" s="2">
        <f t="shared" si="0"/>
        <v>3917050</v>
      </c>
      <c r="AU15" s="2">
        <f>IF('Input-EWEMs'!$D25="", "",IFERROR('Input-EWEMs'!T25*INDEX(Assumptions!$H$6:$H$17,MATCH('Input-EWEMs'!T$11,Assumptions!$C$6:$C$17,0)),0)+IFERROR('Input-EWEMs'!U25*INDEX(Assumptions!$H$6:$H$17,MATCH('Input-EWEMs'!U$11,Assumptions!$C$6:$C$17,0)),0)+IFERROR('Input-EWEMs'!V25*INDEX(Assumptions!$H$6:$H$17,MATCH('Input-EWEMs'!V$11,Assumptions!$C$6:$C$17,0)),0))</f>
        <v>1228337.9190412017</v>
      </c>
      <c r="AV15" s="2">
        <f>IF('Input-EWEMs'!$D25="", "",ROUND('Input-EWEMs'!K25,0))</f>
        <v>1801691</v>
      </c>
      <c r="AW15" s="2">
        <f>IF('Input-EWEMs'!$D25="", "",ROUND('Input-EWEMs'!L25,0))</f>
        <v>735386</v>
      </c>
    </row>
    <row r="16" spans="1:49" x14ac:dyDescent="0.2">
      <c r="A16" s="2"/>
      <c r="B16" s="2" t="str">
        <f>IF('Input-EWEMs'!D26="","",IF(COUNTIF('Input-EWEMs'!C$52:C$61,'Input-EWEMs'!C26)&lt;1,'Lender Validation'!B58,"No"))</f>
        <v>Yes</v>
      </c>
      <c r="C16" s="2">
        <f>IF('Input-EWEMs'!$D26="", "", 'Input-EWEMs'!C26)</f>
        <v>15</v>
      </c>
      <c r="D16" s="2" t="str">
        <f>IF('Input-EWEMs'!$D26="", "", 'Input-EWEMs'!D26)</f>
        <v>Building envelope</v>
      </c>
      <c r="E16" s="2" t="str">
        <f>IF('Input-EWEMs'!$D26="", "", IFERROR(INDEX('Reference-MeasureList'!$Q$7:$Q$10,MATCH('Input-EWEMs'!E26,'Reference-MeasureList'!$P$7:$P$10,0)),'Input-EWEMs'!E26))</f>
        <v>Repair or replace roof for solar PV installation</v>
      </c>
      <c r="F16" s="2" t="str">
        <f>IF('Input-EWEMs'!$D26="", "", 'Input-EWEMs'!F26)</f>
        <v>Install foam roof overlap on top of existing roof for building A,B,E,F,G,H,I and leasing office. Must be included if EWEM "install photovoltaic system" is selected.</v>
      </c>
      <c r="G16" s="2" t="str">
        <f>IF('Input-EWEMs'!$D26="", "", 'Input-EWEMs'!G26)</f>
        <v>Common area</v>
      </c>
      <c r="H16" s="2">
        <f>IF('Input-EWEMs'!$H26="", "", 'Input-EWEMs'!H26)</f>
        <v>1</v>
      </c>
      <c r="I16" s="2">
        <f>IF('Input-EWEMs'!$I26="", "", 'Input-EWEMs'!I26)</f>
        <v>0</v>
      </c>
      <c r="J16" s="2">
        <f>IF('Input-EWEMs'!$I26="", "", I16/'DB-Properties'!$K$2)</f>
        <v>0</v>
      </c>
      <c r="K16" s="2">
        <f>IF('Input-EWEMs'!$D26="", "",ROUND('Input-EWEMs'!M26,0))</f>
        <v>280000</v>
      </c>
      <c r="L16" s="2">
        <f>IF('Input-EWEMs'!$D26="", "",SUM(O16,R16))</f>
        <v>0</v>
      </c>
      <c r="M16" s="2">
        <f>IF('Input-EWEMs'!$D26="", "",ROUND('Input-EWEMs'!N26,0))</f>
        <v>0</v>
      </c>
      <c r="N16" s="2">
        <f>IF('Input-EWEMs'!$D26="", "",ROUND('Input-EWEMs'!O26,0))</f>
        <v>0</v>
      </c>
      <c r="O16" s="2">
        <f>IF('Input-EWEMs'!$D26="", "",ROUND('Input-EWEMs'!P26,0))</f>
        <v>0</v>
      </c>
      <c r="P16" s="2">
        <f>IF('Input-EWEMs'!$D26="", "",ROUND('Input-EWEMs'!Q26,0))</f>
        <v>0</v>
      </c>
      <c r="Q16" s="2">
        <f>IF('Input-EWEMs'!$D26="", "",ROUND('Input-EWEMs'!R26,0))</f>
        <v>0</v>
      </c>
      <c r="R16" s="2">
        <f>IF('Input-EWEMs'!$D26="", "",ROUND('Input-EWEMs'!S26,0))</f>
        <v>0</v>
      </c>
      <c r="S16" s="2">
        <f>IF('Input-EWEMs'!$D26="", "",'Input-EWEMs'!X26)</f>
        <v>0</v>
      </c>
      <c r="T16" s="2">
        <f>IF('Input-EWEMs'!$D26="", "",IFERROR(INDEX('Input-EWEMs'!$Y26:$Z26,MATCH("Natural Gas",'Input-EWEMs'!$Y$10:$Z$10,0)),0))</f>
        <v>0</v>
      </c>
      <c r="U16" s="2">
        <f>IF('Input-EWEMs'!$D26="", "",IFERROR(INDEX('Input-EWEMs'!$Y26:$Z26,MATCH("Fuel Oil #2",'Input-EWEMs'!$Y$10:$Z$10,0)),0))</f>
        <v>0</v>
      </c>
      <c r="V16" s="2">
        <f>IF('Input-EWEMs'!$D26="", "",IFERROR(INDEX('Input-EWEMs'!$Y26:$Z26,MATCH("Fuel Oil #4",'Input-EWEMs'!$Y$10:$Z$10,0)),0))</f>
        <v>0</v>
      </c>
      <c r="W16" s="2">
        <f>IF('Input-EWEMs'!$D26="", "",IFERROR(INDEX('Input-EWEMs'!$Y26:$Z26,MATCH("Fuel Oil #6",'Input-EWEMs'!$Y$10:$Z$10,0)),0))</f>
        <v>0</v>
      </c>
      <c r="X16" s="2">
        <f>IF('Input-EWEMs'!$D26="", "",IFERROR(INDEX('Input-EWEMs'!$Y26:$Z26,MATCH("District Steam",'Input-EWEMs'!$Y$10:$Z$10,0)),0))</f>
        <v>0</v>
      </c>
      <c r="Y16" s="2">
        <f>IF('Input-EWEMs'!$D26="", "",IFERROR(INDEX('Input-EWEMs'!$Y26:$Z26,MATCH("Propane",'Input-EWEMs'!$Y$10:$Z$10,0)),0))</f>
        <v>0</v>
      </c>
      <c r="Z16" s="2">
        <f>IF('Input-EWEMs'!$D26="", "",IFERROR(INDEX('Input-EWEMs'!$Y26:$Z26,MATCH("District Hot Water",'Input-EWEMs'!$Y$10:$Z$10,0)),0))</f>
        <v>0</v>
      </c>
      <c r="AA16" s="2">
        <f>IF('Input-EWEMs'!$D26="", "",IFERROR(INDEX('Input-EWEMs'!$Y26:$Z26,MATCH("District Chilled Water",'Input-EWEMs'!$Y$10:$Z$10,0)),0))</f>
        <v>0</v>
      </c>
      <c r="AB16" s="2">
        <f>IF('Input-EWEMs'!$D26="", "",IFERROR(INDEX('Input-EWEMs'!$Y26:$Z26,MATCH("Other",'Input-EWEMs'!$Y$10:$Z$10,0)),0))</f>
        <v>0</v>
      </c>
      <c r="AC16" s="2">
        <f>IF('Input-EWEMs'!$D26="", "",'Input-EWEMs'!AA26)</f>
        <v>0</v>
      </c>
      <c r="AD16" s="2">
        <f>IF('Input-EWEMs'!$D26="", "",IFERROR(INDEX('Input-EWEMs'!$AB26:$AC26,MATCH("Natural Gas",'Input-EWEMs'!$AB$10:$AC$10,0)),0))</f>
        <v>0</v>
      </c>
      <c r="AE16" s="2">
        <f>IF('Input-EWEMs'!$D26="", "",IFERROR(INDEX('Input-EWEMs'!$AB26:$AC26,MATCH("Fuel Oil #2",'Input-EWEMs'!$AB$10:$AC$10,0)),0))</f>
        <v>0</v>
      </c>
      <c r="AF16" s="2">
        <f>IF('Input-EWEMs'!$D26="", "",IFERROR(INDEX('Input-EWEMs'!$AB26:$AC26,MATCH("Fuel Oil #4",'Input-EWEMs'!$AB$10:$AC$10,0)),0))</f>
        <v>0</v>
      </c>
      <c r="AG16" s="2">
        <f>IF('Input-EWEMs'!$D26="", "",IFERROR(INDEX('Input-EWEMs'!$AB26:$AC26,MATCH("Fuel Oil #6",'Input-EWEMs'!$AB$10:$AC$10,0)),0))</f>
        <v>0</v>
      </c>
      <c r="AH16" s="2">
        <f>IF('Input-EWEMs'!$D26="", "",IFERROR(INDEX('Input-EWEMs'!$AB26:$AC26,MATCH("District Steam",'Input-EWEMs'!$AB$10:$AC$10,0)),0))</f>
        <v>0</v>
      </c>
      <c r="AI16" s="2">
        <f>IF('Input-EWEMs'!$D26="", "",IFERROR(INDEX('Input-EWEMs'!$AB26:$AC26,MATCH("Propane",'Input-EWEMs'!$AB$10:$AC$10,0)),0))</f>
        <v>0</v>
      </c>
      <c r="AJ16" s="2">
        <f>IF('Input-EWEMs'!$D26="", "",IFERROR(INDEX('Input-EWEMs'!$AB26:$AC26,MATCH("District Hot Water",'Input-EWEMs'!$AB$10:$AC$10,0)),0))</f>
        <v>0</v>
      </c>
      <c r="AK16" s="2">
        <f>IF('Input-EWEMs'!$D26="", "",IFERROR(INDEX('Input-EWEMs'!$AB26:$AC26,MATCH("District Chilled Water",'Input-EWEMs'!$AB$10:$AC$10,0)),0))</f>
        <v>0</v>
      </c>
      <c r="AL16" s="2">
        <f>IF('Input-EWEMs'!$D26="", "",IFERROR(INDEX('Input-EWEMs'!$AB26:$AC26,MATCH("Other",'Input-EWEMs'!$AB$10:$AC$10,0)),0))</f>
        <v>0</v>
      </c>
      <c r="AM16" s="2">
        <f>IF('Input-EWEMs'!$D26="", "",SUM(S16:AB16))</f>
        <v>0</v>
      </c>
      <c r="AN16" s="2">
        <f>IF('Input-EWEMs'!$D26="", "",SUM(AC16:AL16))</f>
        <v>0</v>
      </c>
      <c r="AO16" s="2">
        <f>IF('Input-EWEMs'!$D26="", "",'Input-EWEMs'!AF26)</f>
        <v>0</v>
      </c>
      <c r="AP16" s="2">
        <f>IF('Input-EWEMs'!$D26="", "",'Input-EWEMs'!AH26)</f>
        <v>0</v>
      </c>
      <c r="AQ16" s="2">
        <f>IF('Input-EWEMs'!$D26="", "",IFERROR(AN16/SUM('DB-Utilities'!$M$2:$M$4),""))</f>
        <v>0</v>
      </c>
      <c r="AR16" s="2">
        <f>IF('Input-EWEMs'!$D26="", "",'Input-EWEMs'!AJ26)</f>
        <v>0</v>
      </c>
      <c r="AS16" s="2">
        <f>IF('Input-EWEMs'!$D26="", "",'Input-EWEMs'!AK26)</f>
        <v>20</v>
      </c>
      <c r="AT16" s="2">
        <f t="shared" si="0"/>
        <v>0</v>
      </c>
      <c r="AU16" s="2">
        <f>IF('Input-EWEMs'!$D26="", "",IFERROR('Input-EWEMs'!T26*INDEX(Assumptions!$H$6:$H$17,MATCH('Input-EWEMs'!T$11,Assumptions!$C$6:$C$17,0)),0)+IFERROR('Input-EWEMs'!U26*INDEX(Assumptions!$H$6:$H$17,MATCH('Input-EWEMs'!U$11,Assumptions!$C$6:$C$17,0)),0)+IFERROR('Input-EWEMs'!V26*INDEX(Assumptions!$H$6:$H$17,MATCH('Input-EWEMs'!V$11,Assumptions!$C$6:$C$17,0)),0))</f>
        <v>0</v>
      </c>
      <c r="AV16" s="2">
        <f>IF('Input-EWEMs'!$D26="", "",ROUND('Input-EWEMs'!K26,0))</f>
        <v>200000</v>
      </c>
      <c r="AW16" s="2">
        <f>IF('Input-EWEMs'!$D26="", "",ROUND('Input-EWEMs'!L26,0))</f>
        <v>80000</v>
      </c>
    </row>
    <row r="17" spans="1:49" x14ac:dyDescent="0.2">
      <c r="A17" s="2"/>
      <c r="B17" s="2" t="str">
        <f>IF('Input-EWEMs'!D27="","",IF(COUNTIF('Input-EWEMs'!C$52:C$61,'Input-EWEMs'!C27)&lt;1,'Lender Validation'!B59,"No"))</f>
        <v/>
      </c>
      <c r="C17" s="2" t="str">
        <f>IF('Input-EWEMs'!$D27="", "", 'Input-EWEMs'!C27)</f>
        <v/>
      </c>
      <c r="D17" s="2" t="str">
        <f>IF('Input-EWEMs'!$D27="", "", 'Input-EWEMs'!D27)</f>
        <v/>
      </c>
      <c r="E17" s="2" t="str">
        <f>IF('Input-EWEMs'!$D27="", "", IFERROR(INDEX('Reference-MeasureList'!$Q$7:$Q$10,MATCH('Input-EWEMs'!E27,'Reference-MeasureList'!$P$7:$P$10,0)),'Input-EWEMs'!E27))</f>
        <v/>
      </c>
      <c r="F17" s="2" t="str">
        <f>IF('Input-EWEMs'!$D27="", "", 'Input-EWEMs'!F27)</f>
        <v/>
      </c>
      <c r="G17" s="2" t="str">
        <f>IF('Input-EWEMs'!$D27="", "", 'Input-EWEMs'!G27)</f>
        <v/>
      </c>
      <c r="H17" s="2" t="str">
        <f>IF('Input-EWEMs'!$H27="", "", 'Input-EWEMs'!H27)</f>
        <v/>
      </c>
      <c r="I17" s="2" t="str">
        <f>IF('Input-EWEMs'!$I27="", "", 'Input-EWEMs'!I27)</f>
        <v/>
      </c>
      <c r="J17" s="2" t="str">
        <f>IF('Input-EWEMs'!$I27="", "", I17/'DB-Properties'!$K$2)</f>
        <v/>
      </c>
      <c r="K17" s="2" t="str">
        <f>IF('Input-EWEMs'!$D27="", "",ROUND('Input-EWEMs'!M27,0))</f>
        <v/>
      </c>
      <c r="L17" s="2" t="str">
        <f>IF('Input-EWEMs'!$D27="", "",SUM(O17,R17))</f>
        <v/>
      </c>
      <c r="M17" s="2" t="str">
        <f>IF('Input-EWEMs'!$D27="", "",ROUND('Input-EWEMs'!N27,0))</f>
        <v/>
      </c>
      <c r="N17" s="2" t="str">
        <f>IF('Input-EWEMs'!$D27="", "",ROUND('Input-EWEMs'!O27,0))</f>
        <v/>
      </c>
      <c r="O17" s="2" t="str">
        <f>IF('Input-EWEMs'!$D27="", "",ROUND('Input-EWEMs'!P27,0))</f>
        <v/>
      </c>
      <c r="P17" s="2" t="str">
        <f>IF('Input-EWEMs'!$D27="", "",ROUND('Input-EWEMs'!Q27,0))</f>
        <v/>
      </c>
      <c r="Q17" s="2" t="str">
        <f>IF('Input-EWEMs'!$D27="", "",ROUND('Input-EWEMs'!R27,0))</f>
        <v/>
      </c>
      <c r="R17" s="2" t="str">
        <f>IF('Input-EWEMs'!$D27="", "",ROUND('Input-EWEMs'!S27,0))</f>
        <v/>
      </c>
      <c r="S17" s="2" t="str">
        <f>IF('Input-EWEMs'!$D27="", "",'Input-EWEMs'!X27)</f>
        <v/>
      </c>
      <c r="T17" s="2" t="str">
        <f>IF('Input-EWEMs'!$D27="", "",IFERROR(INDEX('Input-EWEMs'!$Y27:$Z27,MATCH("Natural Gas",'Input-EWEMs'!$Y$10:$Z$10,0)),0))</f>
        <v/>
      </c>
      <c r="U17" s="2" t="str">
        <f>IF('Input-EWEMs'!$D27="", "",IFERROR(INDEX('Input-EWEMs'!$Y27:$Z27,MATCH("Fuel Oil #2",'Input-EWEMs'!$Y$10:$Z$10,0)),0))</f>
        <v/>
      </c>
      <c r="V17" s="2" t="str">
        <f>IF('Input-EWEMs'!$D27="", "",IFERROR(INDEX('Input-EWEMs'!$Y27:$Z27,MATCH("Fuel Oil #4",'Input-EWEMs'!$Y$10:$Z$10,0)),0))</f>
        <v/>
      </c>
      <c r="W17" s="2" t="str">
        <f>IF('Input-EWEMs'!$D27="", "",IFERROR(INDEX('Input-EWEMs'!$Y27:$Z27,MATCH("Fuel Oil #6",'Input-EWEMs'!$Y$10:$Z$10,0)),0))</f>
        <v/>
      </c>
      <c r="X17" s="2" t="str">
        <f>IF('Input-EWEMs'!$D27="", "",IFERROR(INDEX('Input-EWEMs'!$Y27:$Z27,MATCH("District Steam",'Input-EWEMs'!$Y$10:$Z$10,0)),0))</f>
        <v/>
      </c>
      <c r="Y17" s="2" t="str">
        <f>IF('Input-EWEMs'!$D27="", "",IFERROR(INDEX('Input-EWEMs'!$Y27:$Z27,MATCH("Propane",'Input-EWEMs'!$Y$10:$Z$10,0)),0))</f>
        <v/>
      </c>
      <c r="Z17" s="2" t="str">
        <f>IF('Input-EWEMs'!$D27="", "",IFERROR(INDEX('Input-EWEMs'!$Y27:$Z27,MATCH("District Hot Water",'Input-EWEMs'!$Y$10:$Z$10,0)),0))</f>
        <v/>
      </c>
      <c r="AA17" s="2" t="str">
        <f>IF('Input-EWEMs'!$D27="", "",IFERROR(INDEX('Input-EWEMs'!$Y27:$Z27,MATCH("District Chilled Water",'Input-EWEMs'!$Y$10:$Z$10,0)),0))</f>
        <v/>
      </c>
      <c r="AB17" s="2" t="str">
        <f>IF('Input-EWEMs'!$D27="", "",IFERROR(INDEX('Input-EWEMs'!$Y27:$Z27,MATCH("Other",'Input-EWEMs'!$Y$10:$Z$10,0)),0))</f>
        <v/>
      </c>
      <c r="AC17" s="2" t="str">
        <f>IF('Input-EWEMs'!$D27="", "",'Input-EWEMs'!AA27)</f>
        <v/>
      </c>
      <c r="AD17" s="2" t="str">
        <f>IF('Input-EWEMs'!$D27="", "",IFERROR(INDEX('Input-EWEMs'!$AB27:$AC27,MATCH("Natural Gas",'Input-EWEMs'!$AB$10:$AC$10,0)),0))</f>
        <v/>
      </c>
      <c r="AE17" s="2" t="str">
        <f>IF('Input-EWEMs'!$D27="", "",IFERROR(INDEX('Input-EWEMs'!$AB27:$AC27,MATCH("Fuel Oil #2",'Input-EWEMs'!$AB$10:$AC$10,0)),0))</f>
        <v/>
      </c>
      <c r="AF17" s="2" t="str">
        <f>IF('Input-EWEMs'!$D27="", "",IFERROR(INDEX('Input-EWEMs'!$AB27:$AC27,MATCH("Fuel Oil #4",'Input-EWEMs'!$AB$10:$AC$10,0)),0))</f>
        <v/>
      </c>
      <c r="AG17" s="2" t="str">
        <f>IF('Input-EWEMs'!$D27="", "",IFERROR(INDEX('Input-EWEMs'!$AB27:$AC27,MATCH("Fuel Oil #6",'Input-EWEMs'!$AB$10:$AC$10,0)),0))</f>
        <v/>
      </c>
      <c r="AH17" s="2" t="str">
        <f>IF('Input-EWEMs'!$D27="", "",IFERROR(INDEX('Input-EWEMs'!$AB27:$AC27,MATCH("District Steam",'Input-EWEMs'!$AB$10:$AC$10,0)),0))</f>
        <v/>
      </c>
      <c r="AI17" s="2" t="str">
        <f>IF('Input-EWEMs'!$D27="", "",IFERROR(INDEX('Input-EWEMs'!$AB27:$AC27,MATCH("Propane",'Input-EWEMs'!$AB$10:$AC$10,0)),0))</f>
        <v/>
      </c>
      <c r="AJ17" s="2" t="str">
        <f>IF('Input-EWEMs'!$D27="", "",IFERROR(INDEX('Input-EWEMs'!$AB27:$AC27,MATCH("District Hot Water",'Input-EWEMs'!$AB$10:$AC$10,0)),0))</f>
        <v/>
      </c>
      <c r="AK17" s="2" t="str">
        <f>IF('Input-EWEMs'!$D27="", "",IFERROR(INDEX('Input-EWEMs'!$AB27:$AC27,MATCH("District Chilled Water",'Input-EWEMs'!$AB$10:$AC$10,0)),0))</f>
        <v/>
      </c>
      <c r="AL17" s="2" t="str">
        <f>IF('Input-EWEMs'!$D27="", "",IFERROR(INDEX('Input-EWEMs'!$AB27:$AC27,MATCH("Other",'Input-EWEMs'!$AB$10:$AC$10,0)),0))</f>
        <v/>
      </c>
      <c r="AM17" s="2" t="str">
        <f>IF('Input-EWEMs'!$D27="", "",SUM(S17:AB17))</f>
        <v/>
      </c>
      <c r="AN17" s="2" t="str">
        <f>IF('Input-EWEMs'!$D27="", "",SUM(AC17:AL17))</f>
        <v/>
      </c>
      <c r="AO17" s="2" t="str">
        <f>IF('Input-EWEMs'!$D27="", "",'Input-EWEMs'!AF27)</f>
        <v/>
      </c>
      <c r="AP17" s="2" t="str">
        <f>IF('Input-EWEMs'!$D27="", "",'Input-EWEMs'!AH27)</f>
        <v/>
      </c>
      <c r="AQ17" s="2" t="str">
        <f>IF('Input-EWEMs'!$D27="", "",IFERROR(AN17/SUM('DB-Utilities'!$M$2:$M$4),""))</f>
        <v/>
      </c>
      <c r="AR17" s="2" t="str">
        <f>IF('Input-EWEMs'!$D27="", "",'Input-EWEMs'!AJ27)</f>
        <v/>
      </c>
      <c r="AS17" s="2" t="str">
        <f>IF('Input-EWEMs'!$D27="", "",'Input-EWEMs'!AK27)</f>
        <v/>
      </c>
      <c r="AT17" s="2" t="str">
        <f t="shared" si="0"/>
        <v/>
      </c>
      <c r="AU17" s="2" t="str">
        <f>IF('Input-EWEMs'!$D27="", "",IFERROR('Input-EWEMs'!T27*INDEX(Assumptions!$H$6:$H$17,MATCH('Input-EWEMs'!T$11,Assumptions!$C$6:$C$17,0)),0)+IFERROR('Input-EWEMs'!U27*INDEX(Assumptions!$H$6:$H$17,MATCH('Input-EWEMs'!U$11,Assumptions!$C$6:$C$17,0)),0)+IFERROR('Input-EWEMs'!V27*INDEX(Assumptions!$H$6:$H$17,MATCH('Input-EWEMs'!V$11,Assumptions!$C$6:$C$17,0)),0))</f>
        <v/>
      </c>
      <c r="AV17" s="2" t="str">
        <f>IF('Input-EWEMs'!$D27="", "",ROUND('Input-EWEMs'!K27,0))</f>
        <v/>
      </c>
      <c r="AW17" s="2" t="str">
        <f>IF('Input-EWEMs'!$D27="", "",ROUND('Input-EWEMs'!L27,0))</f>
        <v/>
      </c>
    </row>
    <row r="18" spans="1:49" x14ac:dyDescent="0.2">
      <c r="A18" s="2"/>
      <c r="B18" s="2" t="str">
        <f>IF('Input-EWEMs'!D28="","",IF(COUNTIF('Input-EWEMs'!C$52:C$61,'Input-EWEMs'!C28)&lt;1,'Lender Validation'!B60,"No"))</f>
        <v/>
      </c>
      <c r="C18" s="2" t="str">
        <f>IF('Input-EWEMs'!$D28="", "", 'Input-EWEMs'!C28)</f>
        <v/>
      </c>
      <c r="D18" s="2" t="str">
        <f>IF('Input-EWEMs'!$D28="", "", 'Input-EWEMs'!D28)</f>
        <v/>
      </c>
      <c r="E18" s="2" t="str">
        <f>IF('Input-EWEMs'!$D28="", "", IFERROR(INDEX('Reference-MeasureList'!$Q$7:$Q$10,MATCH('Input-EWEMs'!E28,'Reference-MeasureList'!$P$7:$P$10,0)),'Input-EWEMs'!E28))</f>
        <v/>
      </c>
      <c r="F18" s="2" t="str">
        <f>IF('Input-EWEMs'!$D28="", "", 'Input-EWEMs'!F28)</f>
        <v/>
      </c>
      <c r="G18" s="2" t="str">
        <f>IF('Input-EWEMs'!$D28="", "", 'Input-EWEMs'!G28)</f>
        <v/>
      </c>
      <c r="H18" s="2" t="str">
        <f>IF('Input-EWEMs'!$H28="", "", 'Input-EWEMs'!H28)</f>
        <v/>
      </c>
      <c r="I18" s="2" t="str">
        <f>IF('Input-EWEMs'!$I28="", "", 'Input-EWEMs'!I28)</f>
        <v/>
      </c>
      <c r="J18" s="2" t="str">
        <f>IF('Input-EWEMs'!$I28="", "", I18/'DB-Properties'!$K$2)</f>
        <v/>
      </c>
      <c r="K18" s="2" t="str">
        <f>IF('Input-EWEMs'!$D28="", "",ROUND('Input-EWEMs'!M28,0))</f>
        <v/>
      </c>
      <c r="L18" s="2" t="str">
        <f>IF('Input-EWEMs'!$D28="", "",SUM(O18,R18))</f>
        <v/>
      </c>
      <c r="M18" s="2" t="str">
        <f>IF('Input-EWEMs'!$D28="", "",ROUND('Input-EWEMs'!N28,0))</f>
        <v/>
      </c>
      <c r="N18" s="2" t="str">
        <f>IF('Input-EWEMs'!$D28="", "",ROUND('Input-EWEMs'!O28,0))</f>
        <v/>
      </c>
      <c r="O18" s="2" t="str">
        <f>IF('Input-EWEMs'!$D28="", "",ROUND('Input-EWEMs'!P28,0))</f>
        <v/>
      </c>
      <c r="P18" s="2" t="str">
        <f>IF('Input-EWEMs'!$D28="", "",ROUND('Input-EWEMs'!Q28,0))</f>
        <v/>
      </c>
      <c r="Q18" s="2" t="str">
        <f>IF('Input-EWEMs'!$D28="", "",ROUND('Input-EWEMs'!R28,0))</f>
        <v/>
      </c>
      <c r="R18" s="2" t="str">
        <f>IF('Input-EWEMs'!$D28="", "",ROUND('Input-EWEMs'!S28,0))</f>
        <v/>
      </c>
      <c r="S18" s="2" t="str">
        <f>IF('Input-EWEMs'!$D28="", "",'Input-EWEMs'!X28)</f>
        <v/>
      </c>
      <c r="T18" s="2" t="str">
        <f>IF('Input-EWEMs'!$D28="", "",IFERROR(INDEX('Input-EWEMs'!$Y28:$Z28,MATCH("Natural Gas",'Input-EWEMs'!$Y$10:$Z$10,0)),0))</f>
        <v/>
      </c>
      <c r="U18" s="2" t="str">
        <f>IF('Input-EWEMs'!$D28="", "",IFERROR(INDEX('Input-EWEMs'!$Y28:$Z28,MATCH("Fuel Oil #2",'Input-EWEMs'!$Y$10:$Z$10,0)),0))</f>
        <v/>
      </c>
      <c r="V18" s="2" t="str">
        <f>IF('Input-EWEMs'!$D28="", "",IFERROR(INDEX('Input-EWEMs'!$Y28:$Z28,MATCH("Fuel Oil #4",'Input-EWEMs'!$Y$10:$Z$10,0)),0))</f>
        <v/>
      </c>
      <c r="W18" s="2" t="str">
        <f>IF('Input-EWEMs'!$D28="", "",IFERROR(INDEX('Input-EWEMs'!$Y28:$Z28,MATCH("Fuel Oil #6",'Input-EWEMs'!$Y$10:$Z$10,0)),0))</f>
        <v/>
      </c>
      <c r="X18" s="2" t="str">
        <f>IF('Input-EWEMs'!$D28="", "",IFERROR(INDEX('Input-EWEMs'!$Y28:$Z28,MATCH("District Steam",'Input-EWEMs'!$Y$10:$Z$10,0)),0))</f>
        <v/>
      </c>
      <c r="Y18" s="2" t="str">
        <f>IF('Input-EWEMs'!$D28="", "",IFERROR(INDEX('Input-EWEMs'!$Y28:$Z28,MATCH("Propane",'Input-EWEMs'!$Y$10:$Z$10,0)),0))</f>
        <v/>
      </c>
      <c r="Z18" s="2" t="str">
        <f>IF('Input-EWEMs'!$D28="", "",IFERROR(INDEX('Input-EWEMs'!$Y28:$Z28,MATCH("District Hot Water",'Input-EWEMs'!$Y$10:$Z$10,0)),0))</f>
        <v/>
      </c>
      <c r="AA18" s="2" t="str">
        <f>IF('Input-EWEMs'!$D28="", "",IFERROR(INDEX('Input-EWEMs'!$Y28:$Z28,MATCH("District Chilled Water",'Input-EWEMs'!$Y$10:$Z$10,0)),0))</f>
        <v/>
      </c>
      <c r="AB18" s="2" t="str">
        <f>IF('Input-EWEMs'!$D28="", "",IFERROR(INDEX('Input-EWEMs'!$Y28:$Z28,MATCH("Other",'Input-EWEMs'!$Y$10:$Z$10,0)),0))</f>
        <v/>
      </c>
      <c r="AC18" s="2" t="str">
        <f>IF('Input-EWEMs'!$D28="", "",'Input-EWEMs'!AA28)</f>
        <v/>
      </c>
      <c r="AD18" s="2" t="str">
        <f>IF('Input-EWEMs'!$D28="", "",IFERROR(INDEX('Input-EWEMs'!$AB28:$AC28,MATCH("Natural Gas",'Input-EWEMs'!$AB$10:$AC$10,0)),0))</f>
        <v/>
      </c>
      <c r="AE18" s="2" t="str">
        <f>IF('Input-EWEMs'!$D28="", "",IFERROR(INDEX('Input-EWEMs'!$AB28:$AC28,MATCH("Fuel Oil #2",'Input-EWEMs'!$AB$10:$AC$10,0)),0))</f>
        <v/>
      </c>
      <c r="AF18" s="2" t="str">
        <f>IF('Input-EWEMs'!$D28="", "",IFERROR(INDEX('Input-EWEMs'!$AB28:$AC28,MATCH("Fuel Oil #4",'Input-EWEMs'!$AB$10:$AC$10,0)),0))</f>
        <v/>
      </c>
      <c r="AG18" s="2" t="str">
        <f>IF('Input-EWEMs'!$D28="", "",IFERROR(INDEX('Input-EWEMs'!$AB28:$AC28,MATCH("Fuel Oil #6",'Input-EWEMs'!$AB$10:$AC$10,0)),0))</f>
        <v/>
      </c>
      <c r="AH18" s="2" t="str">
        <f>IF('Input-EWEMs'!$D28="", "",IFERROR(INDEX('Input-EWEMs'!$AB28:$AC28,MATCH("District Steam",'Input-EWEMs'!$AB$10:$AC$10,0)),0))</f>
        <v/>
      </c>
      <c r="AI18" s="2" t="str">
        <f>IF('Input-EWEMs'!$D28="", "",IFERROR(INDEX('Input-EWEMs'!$AB28:$AC28,MATCH("Propane",'Input-EWEMs'!$AB$10:$AC$10,0)),0))</f>
        <v/>
      </c>
      <c r="AJ18" s="2" t="str">
        <f>IF('Input-EWEMs'!$D28="", "",IFERROR(INDEX('Input-EWEMs'!$AB28:$AC28,MATCH("District Hot Water",'Input-EWEMs'!$AB$10:$AC$10,0)),0))</f>
        <v/>
      </c>
      <c r="AK18" s="2" t="str">
        <f>IF('Input-EWEMs'!$D28="", "",IFERROR(INDEX('Input-EWEMs'!$AB28:$AC28,MATCH("District Chilled Water",'Input-EWEMs'!$AB$10:$AC$10,0)),0))</f>
        <v/>
      </c>
      <c r="AL18" s="2" t="str">
        <f>IF('Input-EWEMs'!$D28="", "",IFERROR(INDEX('Input-EWEMs'!$AB28:$AC28,MATCH("Other",'Input-EWEMs'!$AB$10:$AC$10,0)),0))</f>
        <v/>
      </c>
      <c r="AM18" s="2" t="str">
        <f>IF('Input-EWEMs'!$D28="", "",SUM(S18:AB18))</f>
        <v/>
      </c>
      <c r="AN18" s="2" t="str">
        <f>IF('Input-EWEMs'!$D28="", "",SUM(AC18:AL18))</f>
        <v/>
      </c>
      <c r="AO18" s="2" t="str">
        <f>IF('Input-EWEMs'!$D28="", "",'Input-EWEMs'!AF28)</f>
        <v/>
      </c>
      <c r="AP18" s="2" t="str">
        <f>IF('Input-EWEMs'!$D28="", "",'Input-EWEMs'!AH28)</f>
        <v/>
      </c>
      <c r="AQ18" s="2" t="str">
        <f>IF('Input-EWEMs'!$D28="", "",IFERROR(AN18/SUM('DB-Utilities'!$M$2:$M$4),""))</f>
        <v/>
      </c>
      <c r="AR18" s="2" t="str">
        <f>IF('Input-EWEMs'!$D28="", "",'Input-EWEMs'!AJ28)</f>
        <v/>
      </c>
      <c r="AS18" s="2" t="str">
        <f>IF('Input-EWEMs'!$D28="", "",'Input-EWEMs'!AK28)</f>
        <v/>
      </c>
      <c r="AT18" s="2" t="str">
        <f t="shared" si="0"/>
        <v/>
      </c>
      <c r="AU18" s="2" t="str">
        <f>IF('Input-EWEMs'!$D28="", "",IFERROR('Input-EWEMs'!T28*INDEX(Assumptions!$H$6:$H$17,MATCH('Input-EWEMs'!T$11,Assumptions!$C$6:$C$17,0)),0)+IFERROR('Input-EWEMs'!U28*INDEX(Assumptions!$H$6:$H$17,MATCH('Input-EWEMs'!U$11,Assumptions!$C$6:$C$17,0)),0)+IFERROR('Input-EWEMs'!V28*INDEX(Assumptions!$H$6:$H$17,MATCH('Input-EWEMs'!V$11,Assumptions!$C$6:$C$17,0)),0))</f>
        <v/>
      </c>
      <c r="AV18" s="2" t="str">
        <f>IF('Input-EWEMs'!$D28="", "",ROUND('Input-EWEMs'!K28,0))</f>
        <v/>
      </c>
      <c r="AW18" s="2" t="str">
        <f>IF('Input-EWEMs'!$D28="", "",ROUND('Input-EWEMs'!L28,0))</f>
        <v/>
      </c>
    </row>
    <row r="19" spans="1:49" x14ac:dyDescent="0.2">
      <c r="A19" s="2"/>
      <c r="B19" s="2" t="str">
        <f>IF('Input-EWEMs'!D29="","",IF(COUNTIF('Input-EWEMs'!C$52:C$61,'Input-EWEMs'!C29)&lt;1,'Lender Validation'!B61,"No"))</f>
        <v/>
      </c>
      <c r="C19" s="2" t="str">
        <f>IF('Input-EWEMs'!$D29="", "", 'Input-EWEMs'!C29)</f>
        <v/>
      </c>
      <c r="D19" s="2" t="str">
        <f>IF('Input-EWEMs'!$D29="", "", 'Input-EWEMs'!D29)</f>
        <v/>
      </c>
      <c r="E19" s="2" t="str">
        <f>IF('Input-EWEMs'!$D29="", "", IFERROR(INDEX('Reference-MeasureList'!$Q$7:$Q$10,MATCH('Input-EWEMs'!E29,'Reference-MeasureList'!$P$7:$P$10,0)),'Input-EWEMs'!E29))</f>
        <v/>
      </c>
      <c r="F19" s="2" t="str">
        <f>IF('Input-EWEMs'!$D29="", "", 'Input-EWEMs'!F29)</f>
        <v/>
      </c>
      <c r="G19" s="2" t="str">
        <f>IF('Input-EWEMs'!$D29="", "", 'Input-EWEMs'!G29)</f>
        <v/>
      </c>
      <c r="H19" s="2" t="str">
        <f>IF('Input-EWEMs'!$H29="", "", 'Input-EWEMs'!H29)</f>
        <v/>
      </c>
      <c r="I19" s="2" t="str">
        <f>IF('Input-EWEMs'!$I29="", "", 'Input-EWEMs'!I29)</f>
        <v/>
      </c>
      <c r="J19" s="2" t="str">
        <f>IF('Input-EWEMs'!$I29="", "", I19/'DB-Properties'!$K$2)</f>
        <v/>
      </c>
      <c r="K19" s="2" t="str">
        <f>IF('Input-EWEMs'!$D29="", "",ROUND('Input-EWEMs'!M29,0))</f>
        <v/>
      </c>
      <c r="L19" s="2" t="str">
        <f>IF('Input-EWEMs'!$D29="", "",SUM(O19,R19))</f>
        <v/>
      </c>
      <c r="M19" s="2" t="str">
        <f>IF('Input-EWEMs'!$D29="", "",ROUND('Input-EWEMs'!N29,0))</f>
        <v/>
      </c>
      <c r="N19" s="2" t="str">
        <f>IF('Input-EWEMs'!$D29="", "",ROUND('Input-EWEMs'!O29,0))</f>
        <v/>
      </c>
      <c r="O19" s="2" t="str">
        <f>IF('Input-EWEMs'!$D29="", "",ROUND('Input-EWEMs'!P29,0))</f>
        <v/>
      </c>
      <c r="P19" s="2" t="str">
        <f>IF('Input-EWEMs'!$D29="", "",ROUND('Input-EWEMs'!Q29,0))</f>
        <v/>
      </c>
      <c r="Q19" s="2" t="str">
        <f>IF('Input-EWEMs'!$D29="", "",ROUND('Input-EWEMs'!R29,0))</f>
        <v/>
      </c>
      <c r="R19" s="2" t="str">
        <f>IF('Input-EWEMs'!$D29="", "",ROUND('Input-EWEMs'!S29,0))</f>
        <v/>
      </c>
      <c r="S19" s="2" t="str">
        <f>IF('Input-EWEMs'!$D29="", "",'Input-EWEMs'!X29)</f>
        <v/>
      </c>
      <c r="T19" s="2" t="str">
        <f>IF('Input-EWEMs'!$D29="", "",IFERROR(INDEX('Input-EWEMs'!$Y29:$Z29,MATCH("Natural Gas",'Input-EWEMs'!$Y$10:$Z$10,0)),0))</f>
        <v/>
      </c>
      <c r="U19" s="2" t="str">
        <f>IF('Input-EWEMs'!$D29="", "",IFERROR(INDEX('Input-EWEMs'!$Y29:$Z29,MATCH("Fuel Oil #2",'Input-EWEMs'!$Y$10:$Z$10,0)),0))</f>
        <v/>
      </c>
      <c r="V19" s="2" t="str">
        <f>IF('Input-EWEMs'!$D29="", "",IFERROR(INDEX('Input-EWEMs'!$Y29:$Z29,MATCH("Fuel Oil #4",'Input-EWEMs'!$Y$10:$Z$10,0)),0))</f>
        <v/>
      </c>
      <c r="W19" s="2" t="str">
        <f>IF('Input-EWEMs'!$D29="", "",IFERROR(INDEX('Input-EWEMs'!$Y29:$Z29,MATCH("Fuel Oil #6",'Input-EWEMs'!$Y$10:$Z$10,0)),0))</f>
        <v/>
      </c>
      <c r="X19" s="2" t="str">
        <f>IF('Input-EWEMs'!$D29="", "",IFERROR(INDEX('Input-EWEMs'!$Y29:$Z29,MATCH("District Steam",'Input-EWEMs'!$Y$10:$Z$10,0)),0))</f>
        <v/>
      </c>
      <c r="Y19" s="2" t="str">
        <f>IF('Input-EWEMs'!$D29="", "",IFERROR(INDEX('Input-EWEMs'!$Y29:$Z29,MATCH("Propane",'Input-EWEMs'!$Y$10:$Z$10,0)),0))</f>
        <v/>
      </c>
      <c r="Z19" s="2" t="str">
        <f>IF('Input-EWEMs'!$D29="", "",IFERROR(INDEX('Input-EWEMs'!$Y29:$Z29,MATCH("District Hot Water",'Input-EWEMs'!$Y$10:$Z$10,0)),0))</f>
        <v/>
      </c>
      <c r="AA19" s="2" t="str">
        <f>IF('Input-EWEMs'!$D29="", "",IFERROR(INDEX('Input-EWEMs'!$Y29:$Z29,MATCH("District Chilled Water",'Input-EWEMs'!$Y$10:$Z$10,0)),0))</f>
        <v/>
      </c>
      <c r="AB19" s="2" t="str">
        <f>IF('Input-EWEMs'!$D29="", "",IFERROR(INDEX('Input-EWEMs'!$Y29:$Z29,MATCH("Other",'Input-EWEMs'!$Y$10:$Z$10,0)),0))</f>
        <v/>
      </c>
      <c r="AC19" s="2" t="str">
        <f>IF('Input-EWEMs'!$D29="", "",'Input-EWEMs'!AA29)</f>
        <v/>
      </c>
      <c r="AD19" s="2" t="str">
        <f>IF('Input-EWEMs'!$D29="", "",IFERROR(INDEX('Input-EWEMs'!$AB29:$AC29,MATCH("Natural Gas",'Input-EWEMs'!$AB$10:$AC$10,0)),0))</f>
        <v/>
      </c>
      <c r="AE19" s="2" t="str">
        <f>IF('Input-EWEMs'!$D29="", "",IFERROR(INDEX('Input-EWEMs'!$AB29:$AC29,MATCH("Fuel Oil #2",'Input-EWEMs'!$AB$10:$AC$10,0)),0))</f>
        <v/>
      </c>
      <c r="AF19" s="2" t="str">
        <f>IF('Input-EWEMs'!$D29="", "",IFERROR(INDEX('Input-EWEMs'!$AB29:$AC29,MATCH("Fuel Oil #4",'Input-EWEMs'!$AB$10:$AC$10,0)),0))</f>
        <v/>
      </c>
      <c r="AG19" s="2" t="str">
        <f>IF('Input-EWEMs'!$D29="", "",IFERROR(INDEX('Input-EWEMs'!$AB29:$AC29,MATCH("Fuel Oil #6",'Input-EWEMs'!$AB$10:$AC$10,0)),0))</f>
        <v/>
      </c>
      <c r="AH19" s="2" t="str">
        <f>IF('Input-EWEMs'!$D29="", "",IFERROR(INDEX('Input-EWEMs'!$AB29:$AC29,MATCH("District Steam",'Input-EWEMs'!$AB$10:$AC$10,0)),0))</f>
        <v/>
      </c>
      <c r="AI19" s="2" t="str">
        <f>IF('Input-EWEMs'!$D29="", "",IFERROR(INDEX('Input-EWEMs'!$AB29:$AC29,MATCH("Propane",'Input-EWEMs'!$AB$10:$AC$10,0)),0))</f>
        <v/>
      </c>
      <c r="AJ19" s="2" t="str">
        <f>IF('Input-EWEMs'!$D29="", "",IFERROR(INDEX('Input-EWEMs'!$AB29:$AC29,MATCH("District Hot Water",'Input-EWEMs'!$AB$10:$AC$10,0)),0))</f>
        <v/>
      </c>
      <c r="AK19" s="2" t="str">
        <f>IF('Input-EWEMs'!$D29="", "",IFERROR(INDEX('Input-EWEMs'!$AB29:$AC29,MATCH("District Chilled Water",'Input-EWEMs'!$AB$10:$AC$10,0)),0))</f>
        <v/>
      </c>
      <c r="AL19" s="2" t="str">
        <f>IF('Input-EWEMs'!$D29="", "",IFERROR(INDEX('Input-EWEMs'!$AB29:$AC29,MATCH("Other",'Input-EWEMs'!$AB$10:$AC$10,0)),0))</f>
        <v/>
      </c>
      <c r="AM19" s="2" t="str">
        <f>IF('Input-EWEMs'!$D29="", "",SUM(S19:AB19))</f>
        <v/>
      </c>
      <c r="AN19" s="2" t="str">
        <f>IF('Input-EWEMs'!$D29="", "",SUM(AC19:AL19))</f>
        <v/>
      </c>
      <c r="AO19" s="2" t="str">
        <f>IF('Input-EWEMs'!$D29="", "",'Input-EWEMs'!AF29)</f>
        <v/>
      </c>
      <c r="AP19" s="2" t="str">
        <f>IF('Input-EWEMs'!$D29="", "",'Input-EWEMs'!AH29)</f>
        <v/>
      </c>
      <c r="AQ19" s="2" t="str">
        <f>IF('Input-EWEMs'!$D29="", "",IFERROR(AN19/SUM('DB-Utilities'!$M$2:$M$4),""))</f>
        <v/>
      </c>
      <c r="AR19" s="2" t="str">
        <f>IF('Input-EWEMs'!$D29="", "",'Input-EWEMs'!AJ29)</f>
        <v/>
      </c>
      <c r="AS19" s="2" t="str">
        <f>IF('Input-EWEMs'!$D29="", "",'Input-EWEMs'!AK29)</f>
        <v/>
      </c>
      <c r="AT19" s="2" t="str">
        <f t="shared" si="0"/>
        <v/>
      </c>
      <c r="AU19" s="2" t="str">
        <f>IF('Input-EWEMs'!$D29="", "",IFERROR('Input-EWEMs'!T29*INDEX(Assumptions!$H$6:$H$17,MATCH('Input-EWEMs'!T$11,Assumptions!$C$6:$C$17,0)),0)+IFERROR('Input-EWEMs'!U29*INDEX(Assumptions!$H$6:$H$17,MATCH('Input-EWEMs'!U$11,Assumptions!$C$6:$C$17,0)),0)+IFERROR('Input-EWEMs'!V29*INDEX(Assumptions!$H$6:$H$17,MATCH('Input-EWEMs'!V$11,Assumptions!$C$6:$C$17,0)),0))</f>
        <v/>
      </c>
      <c r="AV19" s="2" t="str">
        <f>IF('Input-EWEMs'!$D29="", "",ROUND('Input-EWEMs'!K29,0))</f>
        <v/>
      </c>
      <c r="AW19" s="2" t="str">
        <f>IF('Input-EWEMs'!$D29="", "",ROUND('Input-EWEMs'!L29,0))</f>
        <v/>
      </c>
    </row>
    <row r="20" spans="1:49" x14ac:dyDescent="0.2">
      <c r="A20" s="2"/>
      <c r="B20" s="2" t="str">
        <f>IF('Input-EWEMs'!D30="","",IF(COUNTIF('Input-EWEMs'!C$52:C$61,'Input-EWEMs'!C30)&lt;1,'Lender Validation'!B62,"No"))</f>
        <v/>
      </c>
      <c r="C20" s="2" t="str">
        <f>IF('Input-EWEMs'!$D30="", "", 'Input-EWEMs'!C30)</f>
        <v/>
      </c>
      <c r="D20" s="2" t="str">
        <f>IF('Input-EWEMs'!$D30="", "", 'Input-EWEMs'!D30)</f>
        <v/>
      </c>
      <c r="E20" s="2" t="str">
        <f>IF('Input-EWEMs'!$D30="", "", IFERROR(INDEX('Reference-MeasureList'!$Q$7:$Q$10,MATCH('Input-EWEMs'!E30,'Reference-MeasureList'!$P$7:$P$10,0)),'Input-EWEMs'!E30))</f>
        <v/>
      </c>
      <c r="F20" s="2" t="str">
        <f>IF('Input-EWEMs'!$D30="", "", 'Input-EWEMs'!F30)</f>
        <v/>
      </c>
      <c r="G20" s="2" t="str">
        <f>IF('Input-EWEMs'!$D30="", "", 'Input-EWEMs'!G30)</f>
        <v/>
      </c>
      <c r="H20" s="2" t="str">
        <f>IF('Input-EWEMs'!$H30="", "", 'Input-EWEMs'!H30)</f>
        <v/>
      </c>
      <c r="I20" s="2" t="str">
        <f>IF('Input-EWEMs'!$I30="", "", 'Input-EWEMs'!I30)</f>
        <v/>
      </c>
      <c r="J20" s="2" t="str">
        <f>IF('Input-EWEMs'!$I30="", "", I20/'DB-Properties'!$K$2)</f>
        <v/>
      </c>
      <c r="K20" s="2" t="str">
        <f>IF('Input-EWEMs'!$D30="", "",ROUND('Input-EWEMs'!M30,0))</f>
        <v/>
      </c>
      <c r="L20" s="2" t="str">
        <f>IF('Input-EWEMs'!$D30="", "",SUM(O20,R20))</f>
        <v/>
      </c>
      <c r="M20" s="2" t="str">
        <f>IF('Input-EWEMs'!$D30="", "",ROUND('Input-EWEMs'!N30,0))</f>
        <v/>
      </c>
      <c r="N20" s="2" t="str">
        <f>IF('Input-EWEMs'!$D30="", "",ROUND('Input-EWEMs'!O30,0))</f>
        <v/>
      </c>
      <c r="O20" s="2" t="str">
        <f>IF('Input-EWEMs'!$D30="", "",ROUND('Input-EWEMs'!P30,0))</f>
        <v/>
      </c>
      <c r="P20" s="2" t="str">
        <f>IF('Input-EWEMs'!$D30="", "",ROUND('Input-EWEMs'!Q30,0))</f>
        <v/>
      </c>
      <c r="Q20" s="2" t="str">
        <f>IF('Input-EWEMs'!$D30="", "",ROUND('Input-EWEMs'!R30,0))</f>
        <v/>
      </c>
      <c r="R20" s="2" t="str">
        <f>IF('Input-EWEMs'!$D30="", "",ROUND('Input-EWEMs'!S30,0))</f>
        <v/>
      </c>
      <c r="S20" s="2" t="str">
        <f>IF('Input-EWEMs'!$D30="", "",'Input-EWEMs'!X30)</f>
        <v/>
      </c>
      <c r="T20" s="2" t="str">
        <f>IF('Input-EWEMs'!$D30="", "",IFERROR(INDEX('Input-EWEMs'!$Y30:$Z30,MATCH("Natural Gas",'Input-EWEMs'!$Y$10:$Z$10,0)),0))</f>
        <v/>
      </c>
      <c r="U20" s="2" t="str">
        <f>IF('Input-EWEMs'!$D30="", "",IFERROR(INDEX('Input-EWEMs'!$Y30:$Z30,MATCH("Fuel Oil #2",'Input-EWEMs'!$Y$10:$Z$10,0)),0))</f>
        <v/>
      </c>
      <c r="V20" s="2" t="str">
        <f>IF('Input-EWEMs'!$D30="", "",IFERROR(INDEX('Input-EWEMs'!$Y30:$Z30,MATCH("Fuel Oil #4",'Input-EWEMs'!$Y$10:$Z$10,0)),0))</f>
        <v/>
      </c>
      <c r="W20" s="2" t="str">
        <f>IF('Input-EWEMs'!$D30="", "",IFERROR(INDEX('Input-EWEMs'!$Y30:$Z30,MATCH("Fuel Oil #6",'Input-EWEMs'!$Y$10:$Z$10,0)),0))</f>
        <v/>
      </c>
      <c r="X20" s="2" t="str">
        <f>IF('Input-EWEMs'!$D30="", "",IFERROR(INDEX('Input-EWEMs'!$Y30:$Z30,MATCH("District Steam",'Input-EWEMs'!$Y$10:$Z$10,0)),0))</f>
        <v/>
      </c>
      <c r="Y20" s="2" t="str">
        <f>IF('Input-EWEMs'!$D30="", "",IFERROR(INDEX('Input-EWEMs'!$Y30:$Z30,MATCH("Propane",'Input-EWEMs'!$Y$10:$Z$10,0)),0))</f>
        <v/>
      </c>
      <c r="Z20" s="2" t="str">
        <f>IF('Input-EWEMs'!$D30="", "",IFERROR(INDEX('Input-EWEMs'!$Y30:$Z30,MATCH("District Hot Water",'Input-EWEMs'!$Y$10:$Z$10,0)),0))</f>
        <v/>
      </c>
      <c r="AA20" s="2" t="str">
        <f>IF('Input-EWEMs'!$D30="", "",IFERROR(INDEX('Input-EWEMs'!$Y30:$Z30,MATCH("District Chilled Water",'Input-EWEMs'!$Y$10:$Z$10,0)),0))</f>
        <v/>
      </c>
      <c r="AB20" s="2" t="str">
        <f>IF('Input-EWEMs'!$D30="", "",IFERROR(INDEX('Input-EWEMs'!$Y30:$Z30,MATCH("Other",'Input-EWEMs'!$Y$10:$Z$10,0)),0))</f>
        <v/>
      </c>
      <c r="AC20" s="2" t="str">
        <f>IF('Input-EWEMs'!$D30="", "",'Input-EWEMs'!AA30)</f>
        <v/>
      </c>
      <c r="AD20" s="2" t="str">
        <f>IF('Input-EWEMs'!$D30="", "",IFERROR(INDEX('Input-EWEMs'!$AB30:$AC30,MATCH("Natural Gas",'Input-EWEMs'!$AB$10:$AC$10,0)),0))</f>
        <v/>
      </c>
      <c r="AE20" s="2" t="str">
        <f>IF('Input-EWEMs'!$D30="", "",IFERROR(INDEX('Input-EWEMs'!$AB30:$AC30,MATCH("Fuel Oil #2",'Input-EWEMs'!$AB$10:$AC$10,0)),0))</f>
        <v/>
      </c>
      <c r="AF20" s="2" t="str">
        <f>IF('Input-EWEMs'!$D30="", "",IFERROR(INDEX('Input-EWEMs'!$AB30:$AC30,MATCH("Fuel Oil #4",'Input-EWEMs'!$AB$10:$AC$10,0)),0))</f>
        <v/>
      </c>
      <c r="AG20" s="2" t="str">
        <f>IF('Input-EWEMs'!$D30="", "",IFERROR(INDEX('Input-EWEMs'!$AB30:$AC30,MATCH("Fuel Oil #6",'Input-EWEMs'!$AB$10:$AC$10,0)),0))</f>
        <v/>
      </c>
      <c r="AH20" s="2" t="str">
        <f>IF('Input-EWEMs'!$D30="", "",IFERROR(INDEX('Input-EWEMs'!$AB30:$AC30,MATCH("District Steam",'Input-EWEMs'!$AB$10:$AC$10,0)),0))</f>
        <v/>
      </c>
      <c r="AI20" s="2" t="str">
        <f>IF('Input-EWEMs'!$D30="", "",IFERROR(INDEX('Input-EWEMs'!$AB30:$AC30,MATCH("Propane",'Input-EWEMs'!$AB$10:$AC$10,0)),0))</f>
        <v/>
      </c>
      <c r="AJ20" s="2" t="str">
        <f>IF('Input-EWEMs'!$D30="", "",IFERROR(INDEX('Input-EWEMs'!$AB30:$AC30,MATCH("District Hot Water",'Input-EWEMs'!$AB$10:$AC$10,0)),0))</f>
        <v/>
      </c>
      <c r="AK20" s="2" t="str">
        <f>IF('Input-EWEMs'!$D30="", "",IFERROR(INDEX('Input-EWEMs'!$AB30:$AC30,MATCH("District Chilled Water",'Input-EWEMs'!$AB$10:$AC$10,0)),0))</f>
        <v/>
      </c>
      <c r="AL20" s="2" t="str">
        <f>IF('Input-EWEMs'!$D30="", "",IFERROR(INDEX('Input-EWEMs'!$AB30:$AC30,MATCH("Other",'Input-EWEMs'!$AB$10:$AC$10,0)),0))</f>
        <v/>
      </c>
      <c r="AM20" s="2" t="str">
        <f>IF('Input-EWEMs'!$D30="", "",SUM(S20:AB20))</f>
        <v/>
      </c>
      <c r="AN20" s="2" t="str">
        <f>IF('Input-EWEMs'!$D30="", "",SUM(AC20:AL20))</f>
        <v/>
      </c>
      <c r="AO20" s="2" t="str">
        <f>IF('Input-EWEMs'!$D30="", "",'Input-EWEMs'!AF30)</f>
        <v/>
      </c>
      <c r="AP20" s="2" t="str">
        <f>IF('Input-EWEMs'!$D30="", "",'Input-EWEMs'!AH30)</f>
        <v/>
      </c>
      <c r="AQ20" s="2" t="str">
        <f>IF('Input-EWEMs'!$D30="", "",IFERROR(AN20/SUM('DB-Utilities'!$M$2:$M$4),""))</f>
        <v/>
      </c>
      <c r="AR20" s="2" t="str">
        <f>IF('Input-EWEMs'!$D30="", "",'Input-EWEMs'!AJ30)</f>
        <v/>
      </c>
      <c r="AS20" s="2" t="str">
        <f>IF('Input-EWEMs'!$D30="", "",'Input-EWEMs'!AK30)</f>
        <v/>
      </c>
      <c r="AT20" s="2" t="str">
        <f t="shared" si="0"/>
        <v/>
      </c>
      <c r="AU20" s="2" t="str">
        <f>IF('Input-EWEMs'!$D30="", "",IFERROR('Input-EWEMs'!T30*INDEX(Assumptions!$H$6:$H$17,MATCH('Input-EWEMs'!T$11,Assumptions!$C$6:$C$17,0)),0)+IFERROR('Input-EWEMs'!U30*INDEX(Assumptions!$H$6:$H$17,MATCH('Input-EWEMs'!U$11,Assumptions!$C$6:$C$17,0)),0)+IFERROR('Input-EWEMs'!V30*INDEX(Assumptions!$H$6:$H$17,MATCH('Input-EWEMs'!V$11,Assumptions!$C$6:$C$17,0)),0))</f>
        <v/>
      </c>
      <c r="AV20" s="2" t="str">
        <f>IF('Input-EWEMs'!$D30="", "",ROUND('Input-EWEMs'!K30,0))</f>
        <v/>
      </c>
      <c r="AW20" s="2" t="str">
        <f>IF('Input-EWEMs'!$D30="", "",ROUND('Input-EWEMs'!L30,0))</f>
        <v/>
      </c>
    </row>
    <row r="21" spans="1:49" x14ac:dyDescent="0.2">
      <c r="A21" s="2"/>
      <c r="B21" s="2" t="str">
        <f>IF('Input-EWEMs'!D31="","",IF(COUNTIF('Input-EWEMs'!C$52:C$61,'Input-EWEMs'!C31)&lt;1,'Lender Validation'!B63,"No"))</f>
        <v/>
      </c>
      <c r="C21" s="2" t="str">
        <f>IF('Input-EWEMs'!$D31="", "", 'Input-EWEMs'!C31)</f>
        <v/>
      </c>
      <c r="D21" s="2" t="str">
        <f>IF('Input-EWEMs'!$D31="", "", 'Input-EWEMs'!D31)</f>
        <v/>
      </c>
      <c r="E21" s="2" t="str">
        <f>IF('Input-EWEMs'!$D31="", "", IFERROR(INDEX('Reference-MeasureList'!$Q$7:$Q$10,MATCH('Input-EWEMs'!E31,'Reference-MeasureList'!$P$7:$P$10,0)),'Input-EWEMs'!E31))</f>
        <v/>
      </c>
      <c r="F21" s="2" t="str">
        <f>IF('Input-EWEMs'!$D31="", "", 'Input-EWEMs'!F31)</f>
        <v/>
      </c>
      <c r="G21" s="2" t="str">
        <f>IF('Input-EWEMs'!$D31="", "", 'Input-EWEMs'!G31)</f>
        <v/>
      </c>
      <c r="H21" s="2" t="str">
        <f>IF('Input-EWEMs'!$H31="", "", 'Input-EWEMs'!H31)</f>
        <v/>
      </c>
      <c r="I21" s="2" t="str">
        <f>IF('Input-EWEMs'!$I31="", "", 'Input-EWEMs'!I31)</f>
        <v/>
      </c>
      <c r="J21" s="2" t="str">
        <f>IF('Input-EWEMs'!$I31="", "", I21/'DB-Properties'!$K$2)</f>
        <v/>
      </c>
      <c r="K21" s="2" t="str">
        <f>IF('Input-EWEMs'!$D31="", "",ROUND('Input-EWEMs'!M31,0))</f>
        <v/>
      </c>
      <c r="L21" s="2" t="str">
        <f>IF('Input-EWEMs'!$D31="", "",SUM(O21,R21))</f>
        <v/>
      </c>
      <c r="M21" s="2" t="str">
        <f>IF('Input-EWEMs'!$D31="", "",ROUND('Input-EWEMs'!N31,0))</f>
        <v/>
      </c>
      <c r="N21" s="2" t="str">
        <f>IF('Input-EWEMs'!$D31="", "",ROUND('Input-EWEMs'!O31,0))</f>
        <v/>
      </c>
      <c r="O21" s="2" t="str">
        <f>IF('Input-EWEMs'!$D31="", "",ROUND('Input-EWEMs'!P31,0))</f>
        <v/>
      </c>
      <c r="P21" s="2" t="str">
        <f>IF('Input-EWEMs'!$D31="", "",ROUND('Input-EWEMs'!Q31,0))</f>
        <v/>
      </c>
      <c r="Q21" s="2" t="str">
        <f>IF('Input-EWEMs'!$D31="", "",ROUND('Input-EWEMs'!R31,0))</f>
        <v/>
      </c>
      <c r="R21" s="2" t="str">
        <f>IF('Input-EWEMs'!$D31="", "",ROUND('Input-EWEMs'!S31,0))</f>
        <v/>
      </c>
      <c r="S21" s="2" t="str">
        <f>IF('Input-EWEMs'!$D31="", "",'Input-EWEMs'!X31)</f>
        <v/>
      </c>
      <c r="T21" s="2" t="str">
        <f>IF('Input-EWEMs'!$D31="", "",IFERROR(INDEX('Input-EWEMs'!$Y31:$Z31,MATCH("Natural Gas",'Input-EWEMs'!$Y$10:$Z$10,0)),0))</f>
        <v/>
      </c>
      <c r="U21" s="2" t="str">
        <f>IF('Input-EWEMs'!$D31="", "",IFERROR(INDEX('Input-EWEMs'!$Y31:$Z31,MATCH("Fuel Oil #2",'Input-EWEMs'!$Y$10:$Z$10,0)),0))</f>
        <v/>
      </c>
      <c r="V21" s="2" t="str">
        <f>IF('Input-EWEMs'!$D31="", "",IFERROR(INDEX('Input-EWEMs'!$Y31:$Z31,MATCH("Fuel Oil #4",'Input-EWEMs'!$Y$10:$Z$10,0)),0))</f>
        <v/>
      </c>
      <c r="W21" s="2" t="str">
        <f>IF('Input-EWEMs'!$D31="", "",IFERROR(INDEX('Input-EWEMs'!$Y31:$Z31,MATCH("Fuel Oil #6",'Input-EWEMs'!$Y$10:$Z$10,0)),0))</f>
        <v/>
      </c>
      <c r="X21" s="2" t="str">
        <f>IF('Input-EWEMs'!$D31="", "",IFERROR(INDEX('Input-EWEMs'!$Y31:$Z31,MATCH("District Steam",'Input-EWEMs'!$Y$10:$Z$10,0)),0))</f>
        <v/>
      </c>
      <c r="Y21" s="2" t="str">
        <f>IF('Input-EWEMs'!$D31="", "",IFERROR(INDEX('Input-EWEMs'!$Y31:$Z31,MATCH("Propane",'Input-EWEMs'!$Y$10:$Z$10,0)),0))</f>
        <v/>
      </c>
      <c r="Z21" s="2" t="str">
        <f>IF('Input-EWEMs'!$D31="", "",IFERROR(INDEX('Input-EWEMs'!$Y31:$Z31,MATCH("District Hot Water",'Input-EWEMs'!$Y$10:$Z$10,0)),0))</f>
        <v/>
      </c>
      <c r="AA21" s="2" t="str">
        <f>IF('Input-EWEMs'!$D31="", "",IFERROR(INDEX('Input-EWEMs'!$Y31:$Z31,MATCH("District Chilled Water",'Input-EWEMs'!$Y$10:$Z$10,0)),0))</f>
        <v/>
      </c>
      <c r="AB21" s="2" t="str">
        <f>IF('Input-EWEMs'!$D31="", "",IFERROR(INDEX('Input-EWEMs'!$Y31:$Z31,MATCH("Other",'Input-EWEMs'!$Y$10:$Z$10,0)),0))</f>
        <v/>
      </c>
      <c r="AC21" s="2" t="str">
        <f>IF('Input-EWEMs'!$D31="", "",'Input-EWEMs'!AA31)</f>
        <v/>
      </c>
      <c r="AD21" s="2" t="str">
        <f>IF('Input-EWEMs'!$D31="", "",IFERROR(INDEX('Input-EWEMs'!$AB31:$AC31,MATCH("Natural Gas",'Input-EWEMs'!$AB$10:$AC$10,0)),0))</f>
        <v/>
      </c>
      <c r="AE21" s="2" t="str">
        <f>IF('Input-EWEMs'!$D31="", "",IFERROR(INDEX('Input-EWEMs'!$AB31:$AC31,MATCH("Fuel Oil #2",'Input-EWEMs'!$AB$10:$AC$10,0)),0))</f>
        <v/>
      </c>
      <c r="AF21" s="2" t="str">
        <f>IF('Input-EWEMs'!$D31="", "",IFERROR(INDEX('Input-EWEMs'!$AB31:$AC31,MATCH("Fuel Oil #4",'Input-EWEMs'!$AB$10:$AC$10,0)),0))</f>
        <v/>
      </c>
      <c r="AG21" s="2" t="str">
        <f>IF('Input-EWEMs'!$D31="", "",IFERROR(INDEX('Input-EWEMs'!$AB31:$AC31,MATCH("Fuel Oil #6",'Input-EWEMs'!$AB$10:$AC$10,0)),0))</f>
        <v/>
      </c>
      <c r="AH21" s="2" t="str">
        <f>IF('Input-EWEMs'!$D31="", "",IFERROR(INDEX('Input-EWEMs'!$AB31:$AC31,MATCH("District Steam",'Input-EWEMs'!$AB$10:$AC$10,0)),0))</f>
        <v/>
      </c>
      <c r="AI21" s="2" t="str">
        <f>IF('Input-EWEMs'!$D31="", "",IFERROR(INDEX('Input-EWEMs'!$AB31:$AC31,MATCH("Propane",'Input-EWEMs'!$AB$10:$AC$10,0)),0))</f>
        <v/>
      </c>
      <c r="AJ21" s="2" t="str">
        <f>IF('Input-EWEMs'!$D31="", "",IFERROR(INDEX('Input-EWEMs'!$AB31:$AC31,MATCH("District Hot Water",'Input-EWEMs'!$AB$10:$AC$10,0)),0))</f>
        <v/>
      </c>
      <c r="AK21" s="2" t="str">
        <f>IF('Input-EWEMs'!$D31="", "",IFERROR(INDEX('Input-EWEMs'!$AB31:$AC31,MATCH("District Chilled Water",'Input-EWEMs'!$AB$10:$AC$10,0)),0))</f>
        <v/>
      </c>
      <c r="AL21" s="2" t="str">
        <f>IF('Input-EWEMs'!$D31="", "",IFERROR(INDEX('Input-EWEMs'!$AB31:$AC31,MATCH("Other",'Input-EWEMs'!$AB$10:$AC$10,0)),0))</f>
        <v/>
      </c>
      <c r="AM21" s="2" t="str">
        <f>IF('Input-EWEMs'!$D31="", "",SUM(S21:AB21))</f>
        <v/>
      </c>
      <c r="AN21" s="2" t="str">
        <f>IF('Input-EWEMs'!$D31="", "",SUM(AC21:AL21))</f>
        <v/>
      </c>
      <c r="AO21" s="2" t="str">
        <f>IF('Input-EWEMs'!$D31="", "",'Input-EWEMs'!AF31)</f>
        <v/>
      </c>
      <c r="AP21" s="2" t="str">
        <f>IF('Input-EWEMs'!$D31="", "",'Input-EWEMs'!AH31)</f>
        <v/>
      </c>
      <c r="AQ21" s="2" t="str">
        <f>IF('Input-EWEMs'!$D31="", "",IFERROR(AN21/SUM('DB-Utilities'!$M$2:$M$4),""))</f>
        <v/>
      </c>
      <c r="AR21" s="2" t="str">
        <f>IF('Input-EWEMs'!$D31="", "",'Input-EWEMs'!AJ31)</f>
        <v/>
      </c>
      <c r="AS21" s="2" t="str">
        <f>IF('Input-EWEMs'!$D31="", "",'Input-EWEMs'!AK31)</f>
        <v/>
      </c>
      <c r="AT21" s="2" t="str">
        <f t="shared" si="0"/>
        <v/>
      </c>
      <c r="AU21" s="2" t="str">
        <f>IF('Input-EWEMs'!$D31="", "",IFERROR('Input-EWEMs'!T31*INDEX(Assumptions!$H$6:$H$17,MATCH('Input-EWEMs'!T$11,Assumptions!$C$6:$C$17,0)),0)+IFERROR('Input-EWEMs'!U31*INDEX(Assumptions!$H$6:$H$17,MATCH('Input-EWEMs'!U$11,Assumptions!$C$6:$C$17,0)),0)+IFERROR('Input-EWEMs'!V31*INDEX(Assumptions!$H$6:$H$17,MATCH('Input-EWEMs'!V$11,Assumptions!$C$6:$C$17,0)),0))</f>
        <v/>
      </c>
      <c r="AV21" s="2" t="str">
        <f>IF('Input-EWEMs'!$D31="", "",ROUND('Input-EWEMs'!K31,0))</f>
        <v/>
      </c>
      <c r="AW21" s="2" t="str">
        <f>IF('Input-EWEMs'!$D31="", "",ROUND('Input-EWEMs'!L31,0))</f>
        <v/>
      </c>
    </row>
    <row r="22" spans="1:49" x14ac:dyDescent="0.2">
      <c r="A22" s="2"/>
      <c r="B22" s="2" t="str">
        <f>IF('Input-EWEMs'!D32="","",IF(COUNTIF('Input-EWEMs'!C$52:C$61,'Input-EWEMs'!C32)&lt;1,'Lender Validation'!B64,"No"))</f>
        <v/>
      </c>
      <c r="C22" s="2" t="str">
        <f>IF('Input-EWEMs'!$D32="", "", 'Input-EWEMs'!C32)</f>
        <v/>
      </c>
      <c r="D22" s="2" t="str">
        <f>IF('Input-EWEMs'!$D32="", "", 'Input-EWEMs'!D32)</f>
        <v/>
      </c>
      <c r="E22" s="2" t="str">
        <f>IF('Input-EWEMs'!$D32="", "", IFERROR(INDEX('Reference-MeasureList'!$Q$7:$Q$10,MATCH('Input-EWEMs'!E32,'Reference-MeasureList'!$P$7:$P$10,0)),'Input-EWEMs'!E32))</f>
        <v/>
      </c>
      <c r="F22" s="2" t="str">
        <f>IF('Input-EWEMs'!$D32="", "", 'Input-EWEMs'!F32)</f>
        <v/>
      </c>
      <c r="G22" s="2" t="str">
        <f>IF('Input-EWEMs'!$D32="", "", 'Input-EWEMs'!G32)</f>
        <v/>
      </c>
      <c r="H22" s="2" t="str">
        <f>IF('Input-EWEMs'!$H32="", "", 'Input-EWEMs'!H32)</f>
        <v/>
      </c>
      <c r="I22" s="2" t="str">
        <f>IF('Input-EWEMs'!$I32="", "", 'Input-EWEMs'!I32)</f>
        <v/>
      </c>
      <c r="J22" s="2" t="str">
        <f>IF('Input-EWEMs'!$I32="", "", I22/'DB-Properties'!$K$2)</f>
        <v/>
      </c>
      <c r="K22" s="2" t="str">
        <f>IF('Input-EWEMs'!$D32="", "",ROUND('Input-EWEMs'!M32,0))</f>
        <v/>
      </c>
      <c r="L22" s="2" t="str">
        <f>IF('Input-EWEMs'!$D32="", "",SUM(O22,R22))</f>
        <v/>
      </c>
      <c r="M22" s="2" t="str">
        <f>IF('Input-EWEMs'!$D32="", "",ROUND('Input-EWEMs'!N32,0))</f>
        <v/>
      </c>
      <c r="N22" s="2" t="str">
        <f>IF('Input-EWEMs'!$D32="", "",ROUND('Input-EWEMs'!O32,0))</f>
        <v/>
      </c>
      <c r="O22" s="2" t="str">
        <f>IF('Input-EWEMs'!$D32="", "",ROUND('Input-EWEMs'!P32,0))</f>
        <v/>
      </c>
      <c r="P22" s="2" t="str">
        <f>IF('Input-EWEMs'!$D32="", "",ROUND('Input-EWEMs'!Q32,0))</f>
        <v/>
      </c>
      <c r="Q22" s="2" t="str">
        <f>IF('Input-EWEMs'!$D32="", "",ROUND('Input-EWEMs'!R32,0))</f>
        <v/>
      </c>
      <c r="R22" s="2" t="str">
        <f>IF('Input-EWEMs'!$D32="", "",ROUND('Input-EWEMs'!S32,0))</f>
        <v/>
      </c>
      <c r="S22" s="2" t="str">
        <f>IF('Input-EWEMs'!$D32="", "",'Input-EWEMs'!X32)</f>
        <v/>
      </c>
      <c r="T22" s="2" t="str">
        <f>IF('Input-EWEMs'!$D32="", "",IFERROR(INDEX('Input-EWEMs'!$Y32:$Z32,MATCH("Natural Gas",'Input-EWEMs'!$Y$10:$Z$10,0)),0))</f>
        <v/>
      </c>
      <c r="U22" s="2" t="str">
        <f>IF('Input-EWEMs'!$D32="", "",IFERROR(INDEX('Input-EWEMs'!$Y32:$Z32,MATCH("Fuel Oil #2",'Input-EWEMs'!$Y$10:$Z$10,0)),0))</f>
        <v/>
      </c>
      <c r="V22" s="2" t="str">
        <f>IF('Input-EWEMs'!$D32="", "",IFERROR(INDEX('Input-EWEMs'!$Y32:$Z32,MATCH("Fuel Oil #4",'Input-EWEMs'!$Y$10:$Z$10,0)),0))</f>
        <v/>
      </c>
      <c r="W22" s="2" t="str">
        <f>IF('Input-EWEMs'!$D32="", "",IFERROR(INDEX('Input-EWEMs'!$Y32:$Z32,MATCH("Fuel Oil #6",'Input-EWEMs'!$Y$10:$Z$10,0)),0))</f>
        <v/>
      </c>
      <c r="X22" s="2" t="str">
        <f>IF('Input-EWEMs'!$D32="", "",IFERROR(INDEX('Input-EWEMs'!$Y32:$Z32,MATCH("District Steam",'Input-EWEMs'!$Y$10:$Z$10,0)),0))</f>
        <v/>
      </c>
      <c r="Y22" s="2" t="str">
        <f>IF('Input-EWEMs'!$D32="", "",IFERROR(INDEX('Input-EWEMs'!$Y32:$Z32,MATCH("Propane",'Input-EWEMs'!$Y$10:$Z$10,0)),0))</f>
        <v/>
      </c>
      <c r="Z22" s="2" t="str">
        <f>IF('Input-EWEMs'!$D32="", "",IFERROR(INDEX('Input-EWEMs'!$Y32:$Z32,MATCH("District Hot Water",'Input-EWEMs'!$Y$10:$Z$10,0)),0))</f>
        <v/>
      </c>
      <c r="AA22" s="2" t="str">
        <f>IF('Input-EWEMs'!$D32="", "",IFERROR(INDEX('Input-EWEMs'!$Y32:$Z32,MATCH("District Chilled Water",'Input-EWEMs'!$Y$10:$Z$10,0)),0))</f>
        <v/>
      </c>
      <c r="AB22" s="2" t="str">
        <f>IF('Input-EWEMs'!$D32="", "",IFERROR(INDEX('Input-EWEMs'!$Y32:$Z32,MATCH("Other",'Input-EWEMs'!$Y$10:$Z$10,0)),0))</f>
        <v/>
      </c>
      <c r="AC22" s="2" t="str">
        <f>IF('Input-EWEMs'!$D32="", "",'Input-EWEMs'!AA32)</f>
        <v/>
      </c>
      <c r="AD22" s="2" t="str">
        <f>IF('Input-EWEMs'!$D32="", "",IFERROR(INDEX('Input-EWEMs'!$AB32:$AC32,MATCH("Natural Gas",'Input-EWEMs'!$AB$10:$AC$10,0)),0))</f>
        <v/>
      </c>
      <c r="AE22" s="2" t="str">
        <f>IF('Input-EWEMs'!$D32="", "",IFERROR(INDEX('Input-EWEMs'!$AB32:$AC32,MATCH("Fuel Oil #2",'Input-EWEMs'!$AB$10:$AC$10,0)),0))</f>
        <v/>
      </c>
      <c r="AF22" s="2" t="str">
        <f>IF('Input-EWEMs'!$D32="", "",IFERROR(INDEX('Input-EWEMs'!$AB32:$AC32,MATCH("Fuel Oil #4",'Input-EWEMs'!$AB$10:$AC$10,0)),0))</f>
        <v/>
      </c>
      <c r="AG22" s="2" t="str">
        <f>IF('Input-EWEMs'!$D32="", "",IFERROR(INDEX('Input-EWEMs'!$AB32:$AC32,MATCH("Fuel Oil #6",'Input-EWEMs'!$AB$10:$AC$10,0)),0))</f>
        <v/>
      </c>
      <c r="AH22" s="2" t="str">
        <f>IF('Input-EWEMs'!$D32="", "",IFERROR(INDEX('Input-EWEMs'!$AB32:$AC32,MATCH("District Steam",'Input-EWEMs'!$AB$10:$AC$10,0)),0))</f>
        <v/>
      </c>
      <c r="AI22" s="2" t="str">
        <f>IF('Input-EWEMs'!$D32="", "",IFERROR(INDEX('Input-EWEMs'!$AB32:$AC32,MATCH("Propane",'Input-EWEMs'!$AB$10:$AC$10,0)),0))</f>
        <v/>
      </c>
      <c r="AJ22" s="2" t="str">
        <f>IF('Input-EWEMs'!$D32="", "",IFERROR(INDEX('Input-EWEMs'!$AB32:$AC32,MATCH("District Hot Water",'Input-EWEMs'!$AB$10:$AC$10,0)),0))</f>
        <v/>
      </c>
      <c r="AK22" s="2" t="str">
        <f>IF('Input-EWEMs'!$D32="", "",IFERROR(INDEX('Input-EWEMs'!$AB32:$AC32,MATCH("District Chilled Water",'Input-EWEMs'!$AB$10:$AC$10,0)),0))</f>
        <v/>
      </c>
      <c r="AL22" s="2" t="str">
        <f>IF('Input-EWEMs'!$D32="", "",IFERROR(INDEX('Input-EWEMs'!$AB32:$AC32,MATCH("Other",'Input-EWEMs'!$AB$10:$AC$10,0)),0))</f>
        <v/>
      </c>
      <c r="AM22" s="2" t="str">
        <f>IF('Input-EWEMs'!$D32="", "",SUM(S22:AB22))</f>
        <v/>
      </c>
      <c r="AN22" s="2" t="str">
        <f>IF('Input-EWEMs'!$D32="", "",SUM(AC22:AL22))</f>
        <v/>
      </c>
      <c r="AO22" s="2" t="str">
        <f>IF('Input-EWEMs'!$D32="", "",'Input-EWEMs'!AF32)</f>
        <v/>
      </c>
      <c r="AP22" s="2" t="str">
        <f>IF('Input-EWEMs'!$D32="", "",'Input-EWEMs'!AH32)</f>
        <v/>
      </c>
      <c r="AQ22" s="2" t="str">
        <f>IF('Input-EWEMs'!$D32="", "",IFERROR(AN22/SUM('DB-Utilities'!$M$2:$M$4),""))</f>
        <v/>
      </c>
      <c r="AR22" s="2" t="str">
        <f>IF('Input-EWEMs'!$D32="", "",'Input-EWEMs'!AJ32)</f>
        <v/>
      </c>
      <c r="AS22" s="2" t="str">
        <f>IF('Input-EWEMs'!$D32="", "",'Input-EWEMs'!AK32)</f>
        <v/>
      </c>
      <c r="AT22" s="2" t="str">
        <f t="shared" ref="AT22:AT31" si="1">IFERROR(L22*AS22,"")</f>
        <v/>
      </c>
      <c r="AU22" s="2" t="str">
        <f>IF('Input-EWEMs'!$D32="", "",IFERROR('Input-EWEMs'!T32*INDEX(Assumptions!$H$6:$H$17,MATCH('Input-EWEMs'!T$11,Assumptions!$C$6:$C$17,0)),0)+IFERROR('Input-EWEMs'!U32*INDEX(Assumptions!$H$6:$H$17,MATCH('Input-EWEMs'!U$11,Assumptions!$C$6:$C$17,0)),0)+IFERROR('Input-EWEMs'!V32*INDEX(Assumptions!$H$6:$H$17,MATCH('Input-EWEMs'!V$11,Assumptions!$C$6:$C$17,0)),0))</f>
        <v/>
      </c>
      <c r="AV22" s="2" t="str">
        <f>IF('Input-EWEMs'!$D32="", "",ROUND('Input-EWEMs'!K32,0))</f>
        <v/>
      </c>
      <c r="AW22" s="2" t="str">
        <f>IF('Input-EWEMs'!$D32="", "",ROUND('Input-EWEMs'!L32,0))</f>
        <v/>
      </c>
    </row>
    <row r="23" spans="1:49" x14ac:dyDescent="0.2">
      <c r="A23" s="2"/>
      <c r="B23" s="2" t="str">
        <f>IF('Input-EWEMs'!D33="","",IF(COUNTIF('Input-EWEMs'!C$52:C$61,'Input-EWEMs'!C33)&lt;1,'Lender Validation'!B65,"No"))</f>
        <v/>
      </c>
      <c r="C23" s="2" t="str">
        <f>IF('Input-EWEMs'!$D33="", "", 'Input-EWEMs'!C33)</f>
        <v/>
      </c>
      <c r="D23" s="2" t="str">
        <f>IF('Input-EWEMs'!$D33="", "", 'Input-EWEMs'!D33)</f>
        <v/>
      </c>
      <c r="E23" s="2" t="str">
        <f>IF('Input-EWEMs'!$D33="", "", IFERROR(INDEX('Reference-MeasureList'!$Q$7:$Q$10,MATCH('Input-EWEMs'!E33,'Reference-MeasureList'!$P$7:$P$10,0)),'Input-EWEMs'!E33))</f>
        <v/>
      </c>
      <c r="F23" s="2" t="str">
        <f>IF('Input-EWEMs'!$D33="", "", 'Input-EWEMs'!F33)</f>
        <v/>
      </c>
      <c r="G23" s="2" t="str">
        <f>IF('Input-EWEMs'!$D33="", "", 'Input-EWEMs'!G33)</f>
        <v/>
      </c>
      <c r="H23" s="2" t="str">
        <f>IF('Input-EWEMs'!$H33="", "", 'Input-EWEMs'!H33)</f>
        <v/>
      </c>
      <c r="I23" s="2" t="str">
        <f>IF('Input-EWEMs'!$I33="", "", 'Input-EWEMs'!I33)</f>
        <v/>
      </c>
      <c r="J23" s="2" t="str">
        <f>IF('Input-EWEMs'!$I33="", "", I23/'DB-Properties'!$K$2)</f>
        <v/>
      </c>
      <c r="K23" s="2" t="str">
        <f>IF('Input-EWEMs'!$D33="", "",ROUND('Input-EWEMs'!M33,0))</f>
        <v/>
      </c>
      <c r="L23" s="2" t="str">
        <f>IF('Input-EWEMs'!$D33="", "",SUM(O23,R23))</f>
        <v/>
      </c>
      <c r="M23" s="2" t="str">
        <f>IF('Input-EWEMs'!$D33="", "",ROUND('Input-EWEMs'!N33,0))</f>
        <v/>
      </c>
      <c r="N23" s="2" t="str">
        <f>IF('Input-EWEMs'!$D33="", "",ROUND('Input-EWEMs'!O33,0))</f>
        <v/>
      </c>
      <c r="O23" s="2" t="str">
        <f>IF('Input-EWEMs'!$D33="", "",ROUND('Input-EWEMs'!P33,0))</f>
        <v/>
      </c>
      <c r="P23" s="2" t="str">
        <f>IF('Input-EWEMs'!$D33="", "",ROUND('Input-EWEMs'!Q33,0))</f>
        <v/>
      </c>
      <c r="Q23" s="2" t="str">
        <f>IF('Input-EWEMs'!$D33="", "",ROUND('Input-EWEMs'!R33,0))</f>
        <v/>
      </c>
      <c r="R23" s="2" t="str">
        <f>IF('Input-EWEMs'!$D33="", "",ROUND('Input-EWEMs'!S33,0))</f>
        <v/>
      </c>
      <c r="S23" s="2" t="str">
        <f>IF('Input-EWEMs'!$D33="", "",'Input-EWEMs'!X33)</f>
        <v/>
      </c>
      <c r="T23" s="2" t="str">
        <f>IF('Input-EWEMs'!$D33="", "",IFERROR(INDEX('Input-EWEMs'!$Y33:$Z33,MATCH("Natural Gas",'Input-EWEMs'!$Y$10:$Z$10,0)),0))</f>
        <v/>
      </c>
      <c r="U23" s="2" t="str">
        <f>IF('Input-EWEMs'!$D33="", "",IFERROR(INDEX('Input-EWEMs'!$Y33:$Z33,MATCH("Fuel Oil #2",'Input-EWEMs'!$Y$10:$Z$10,0)),0))</f>
        <v/>
      </c>
      <c r="V23" s="2" t="str">
        <f>IF('Input-EWEMs'!$D33="", "",IFERROR(INDEX('Input-EWEMs'!$Y33:$Z33,MATCH("Fuel Oil #4",'Input-EWEMs'!$Y$10:$Z$10,0)),0))</f>
        <v/>
      </c>
      <c r="W23" s="2" t="str">
        <f>IF('Input-EWEMs'!$D33="", "",IFERROR(INDEX('Input-EWEMs'!$Y33:$Z33,MATCH("Fuel Oil #6",'Input-EWEMs'!$Y$10:$Z$10,0)),0))</f>
        <v/>
      </c>
      <c r="X23" s="2" t="str">
        <f>IF('Input-EWEMs'!$D33="", "",IFERROR(INDEX('Input-EWEMs'!$Y33:$Z33,MATCH("District Steam",'Input-EWEMs'!$Y$10:$Z$10,0)),0))</f>
        <v/>
      </c>
      <c r="Y23" s="2" t="str">
        <f>IF('Input-EWEMs'!$D33="", "",IFERROR(INDEX('Input-EWEMs'!$Y33:$Z33,MATCH("Propane",'Input-EWEMs'!$Y$10:$Z$10,0)),0))</f>
        <v/>
      </c>
      <c r="Z23" s="2" t="str">
        <f>IF('Input-EWEMs'!$D33="", "",IFERROR(INDEX('Input-EWEMs'!$Y33:$Z33,MATCH("District Hot Water",'Input-EWEMs'!$Y$10:$Z$10,0)),0))</f>
        <v/>
      </c>
      <c r="AA23" s="2" t="str">
        <f>IF('Input-EWEMs'!$D33="", "",IFERROR(INDEX('Input-EWEMs'!$Y33:$Z33,MATCH("District Chilled Water",'Input-EWEMs'!$Y$10:$Z$10,0)),0))</f>
        <v/>
      </c>
      <c r="AB23" s="2" t="str">
        <f>IF('Input-EWEMs'!$D33="", "",IFERROR(INDEX('Input-EWEMs'!$Y33:$Z33,MATCH("Other",'Input-EWEMs'!$Y$10:$Z$10,0)),0))</f>
        <v/>
      </c>
      <c r="AC23" s="2" t="str">
        <f>IF('Input-EWEMs'!$D33="", "",'Input-EWEMs'!AA33)</f>
        <v/>
      </c>
      <c r="AD23" s="2" t="str">
        <f>IF('Input-EWEMs'!$D33="", "",IFERROR(INDEX('Input-EWEMs'!$AB33:$AC33,MATCH("Natural Gas",'Input-EWEMs'!$AB$10:$AC$10,0)),0))</f>
        <v/>
      </c>
      <c r="AE23" s="2" t="str">
        <f>IF('Input-EWEMs'!$D33="", "",IFERROR(INDEX('Input-EWEMs'!$AB33:$AC33,MATCH("Fuel Oil #2",'Input-EWEMs'!$AB$10:$AC$10,0)),0))</f>
        <v/>
      </c>
      <c r="AF23" s="2" t="str">
        <f>IF('Input-EWEMs'!$D33="", "",IFERROR(INDEX('Input-EWEMs'!$AB33:$AC33,MATCH("Fuel Oil #4",'Input-EWEMs'!$AB$10:$AC$10,0)),0))</f>
        <v/>
      </c>
      <c r="AG23" s="2" t="str">
        <f>IF('Input-EWEMs'!$D33="", "",IFERROR(INDEX('Input-EWEMs'!$AB33:$AC33,MATCH("Fuel Oil #6",'Input-EWEMs'!$AB$10:$AC$10,0)),0))</f>
        <v/>
      </c>
      <c r="AH23" s="2" t="str">
        <f>IF('Input-EWEMs'!$D33="", "",IFERROR(INDEX('Input-EWEMs'!$AB33:$AC33,MATCH("District Steam",'Input-EWEMs'!$AB$10:$AC$10,0)),0))</f>
        <v/>
      </c>
      <c r="AI23" s="2" t="str">
        <f>IF('Input-EWEMs'!$D33="", "",IFERROR(INDEX('Input-EWEMs'!$AB33:$AC33,MATCH("Propane",'Input-EWEMs'!$AB$10:$AC$10,0)),0))</f>
        <v/>
      </c>
      <c r="AJ23" s="2" t="str">
        <f>IF('Input-EWEMs'!$D33="", "",IFERROR(INDEX('Input-EWEMs'!$AB33:$AC33,MATCH("District Hot Water",'Input-EWEMs'!$AB$10:$AC$10,0)),0))</f>
        <v/>
      </c>
      <c r="AK23" s="2" t="str">
        <f>IF('Input-EWEMs'!$D33="", "",IFERROR(INDEX('Input-EWEMs'!$AB33:$AC33,MATCH("District Chilled Water",'Input-EWEMs'!$AB$10:$AC$10,0)),0))</f>
        <v/>
      </c>
      <c r="AL23" s="2" t="str">
        <f>IF('Input-EWEMs'!$D33="", "",IFERROR(INDEX('Input-EWEMs'!$AB33:$AC33,MATCH("Other",'Input-EWEMs'!$AB$10:$AC$10,0)),0))</f>
        <v/>
      </c>
      <c r="AM23" s="2" t="str">
        <f>IF('Input-EWEMs'!$D33="", "",SUM(S23:AB23))</f>
        <v/>
      </c>
      <c r="AN23" s="2" t="str">
        <f>IF('Input-EWEMs'!$D33="", "",SUM(AC23:AL23))</f>
        <v/>
      </c>
      <c r="AO23" s="2" t="str">
        <f>IF('Input-EWEMs'!$D33="", "",'Input-EWEMs'!AF33)</f>
        <v/>
      </c>
      <c r="AP23" s="2" t="str">
        <f>IF('Input-EWEMs'!$D33="", "",'Input-EWEMs'!AH33)</f>
        <v/>
      </c>
      <c r="AQ23" s="2" t="str">
        <f>IF('Input-EWEMs'!$D33="", "",IFERROR(AN23/SUM('DB-Utilities'!$M$2:$M$4),""))</f>
        <v/>
      </c>
      <c r="AR23" s="2" t="str">
        <f>IF('Input-EWEMs'!$D33="", "",'Input-EWEMs'!AJ33)</f>
        <v/>
      </c>
      <c r="AS23" s="2" t="str">
        <f>IF('Input-EWEMs'!$D33="", "",'Input-EWEMs'!AK33)</f>
        <v/>
      </c>
      <c r="AT23" s="2" t="str">
        <f t="shared" si="1"/>
        <v/>
      </c>
      <c r="AU23" s="2" t="str">
        <f>IF('Input-EWEMs'!$D33="", "",IFERROR('Input-EWEMs'!T33*INDEX(Assumptions!$H$6:$H$17,MATCH('Input-EWEMs'!T$11,Assumptions!$C$6:$C$17,0)),0)+IFERROR('Input-EWEMs'!U33*INDEX(Assumptions!$H$6:$H$17,MATCH('Input-EWEMs'!U$11,Assumptions!$C$6:$C$17,0)),0)+IFERROR('Input-EWEMs'!V33*INDEX(Assumptions!$H$6:$H$17,MATCH('Input-EWEMs'!V$11,Assumptions!$C$6:$C$17,0)),0))</f>
        <v/>
      </c>
      <c r="AV23" s="2" t="str">
        <f>IF('Input-EWEMs'!$D33="", "",ROUND('Input-EWEMs'!K33,0))</f>
        <v/>
      </c>
      <c r="AW23" s="2" t="str">
        <f>IF('Input-EWEMs'!$D33="", "",ROUND('Input-EWEMs'!L33,0))</f>
        <v/>
      </c>
    </row>
    <row r="24" spans="1:49" x14ac:dyDescent="0.2">
      <c r="A24" s="2"/>
      <c r="B24" s="2" t="str">
        <f>IF('Input-EWEMs'!D34="","",IF(COUNTIF('Input-EWEMs'!C$52:C$61,'Input-EWEMs'!C34)&lt;1,'Lender Validation'!B66,"No"))</f>
        <v/>
      </c>
      <c r="C24" s="2" t="str">
        <f>IF('Input-EWEMs'!$D34="", "", 'Input-EWEMs'!C34)</f>
        <v/>
      </c>
      <c r="D24" s="2" t="str">
        <f>IF('Input-EWEMs'!$D34="", "", 'Input-EWEMs'!D34)</f>
        <v/>
      </c>
      <c r="E24" s="2" t="str">
        <f>IF('Input-EWEMs'!$D34="", "", IFERROR(INDEX('Reference-MeasureList'!$Q$7:$Q$10,MATCH('Input-EWEMs'!E34,'Reference-MeasureList'!$P$7:$P$10,0)),'Input-EWEMs'!E34))</f>
        <v/>
      </c>
      <c r="F24" s="2" t="str">
        <f>IF('Input-EWEMs'!$D34="", "", 'Input-EWEMs'!F34)</f>
        <v/>
      </c>
      <c r="G24" s="2" t="str">
        <f>IF('Input-EWEMs'!$D34="", "", 'Input-EWEMs'!G34)</f>
        <v/>
      </c>
      <c r="H24" s="2" t="str">
        <f>IF('Input-EWEMs'!$H34="", "", 'Input-EWEMs'!H34)</f>
        <v/>
      </c>
      <c r="I24" s="2" t="str">
        <f>IF('Input-EWEMs'!$I34="", "", 'Input-EWEMs'!I34)</f>
        <v/>
      </c>
      <c r="J24" s="2" t="str">
        <f>IF('Input-EWEMs'!$I34="", "", I24/'DB-Properties'!$K$2)</f>
        <v/>
      </c>
      <c r="K24" s="2" t="str">
        <f>IF('Input-EWEMs'!$D34="", "",ROUND('Input-EWEMs'!M34,0))</f>
        <v/>
      </c>
      <c r="L24" s="2" t="str">
        <f>IF('Input-EWEMs'!$D34="", "",SUM(O24,R24))</f>
        <v/>
      </c>
      <c r="M24" s="2" t="str">
        <f>IF('Input-EWEMs'!$D34="", "",ROUND('Input-EWEMs'!N34,0))</f>
        <v/>
      </c>
      <c r="N24" s="2" t="str">
        <f>IF('Input-EWEMs'!$D34="", "",ROUND('Input-EWEMs'!O34,0))</f>
        <v/>
      </c>
      <c r="O24" s="2" t="str">
        <f>IF('Input-EWEMs'!$D34="", "",ROUND('Input-EWEMs'!P34,0))</f>
        <v/>
      </c>
      <c r="P24" s="2" t="str">
        <f>IF('Input-EWEMs'!$D34="", "",ROUND('Input-EWEMs'!Q34,0))</f>
        <v/>
      </c>
      <c r="Q24" s="2" t="str">
        <f>IF('Input-EWEMs'!$D34="", "",ROUND('Input-EWEMs'!R34,0))</f>
        <v/>
      </c>
      <c r="R24" s="2" t="str">
        <f>IF('Input-EWEMs'!$D34="", "",ROUND('Input-EWEMs'!S34,0))</f>
        <v/>
      </c>
      <c r="S24" s="2" t="str">
        <f>IF('Input-EWEMs'!$D34="", "",'Input-EWEMs'!X34)</f>
        <v/>
      </c>
      <c r="T24" s="2" t="str">
        <f>IF('Input-EWEMs'!$D34="", "",IFERROR(INDEX('Input-EWEMs'!$Y34:$Z34,MATCH("Natural Gas",'Input-EWEMs'!$Y$10:$Z$10,0)),0))</f>
        <v/>
      </c>
      <c r="U24" s="2" t="str">
        <f>IF('Input-EWEMs'!$D34="", "",IFERROR(INDEX('Input-EWEMs'!$Y34:$Z34,MATCH("Fuel Oil #2",'Input-EWEMs'!$Y$10:$Z$10,0)),0))</f>
        <v/>
      </c>
      <c r="V24" s="2" t="str">
        <f>IF('Input-EWEMs'!$D34="", "",IFERROR(INDEX('Input-EWEMs'!$Y34:$Z34,MATCH("Fuel Oil #4",'Input-EWEMs'!$Y$10:$Z$10,0)),0))</f>
        <v/>
      </c>
      <c r="W24" s="2" t="str">
        <f>IF('Input-EWEMs'!$D34="", "",IFERROR(INDEX('Input-EWEMs'!$Y34:$Z34,MATCH("Fuel Oil #6",'Input-EWEMs'!$Y$10:$Z$10,0)),0))</f>
        <v/>
      </c>
      <c r="X24" s="2" t="str">
        <f>IF('Input-EWEMs'!$D34="", "",IFERROR(INDEX('Input-EWEMs'!$Y34:$Z34,MATCH("District Steam",'Input-EWEMs'!$Y$10:$Z$10,0)),0))</f>
        <v/>
      </c>
      <c r="Y24" s="2" t="str">
        <f>IF('Input-EWEMs'!$D34="", "",IFERROR(INDEX('Input-EWEMs'!$Y34:$Z34,MATCH("Propane",'Input-EWEMs'!$Y$10:$Z$10,0)),0))</f>
        <v/>
      </c>
      <c r="Z24" s="2" t="str">
        <f>IF('Input-EWEMs'!$D34="", "",IFERROR(INDEX('Input-EWEMs'!$Y34:$Z34,MATCH("District Hot Water",'Input-EWEMs'!$Y$10:$Z$10,0)),0))</f>
        <v/>
      </c>
      <c r="AA24" s="2" t="str">
        <f>IF('Input-EWEMs'!$D34="", "",IFERROR(INDEX('Input-EWEMs'!$Y34:$Z34,MATCH("District Chilled Water",'Input-EWEMs'!$Y$10:$Z$10,0)),0))</f>
        <v/>
      </c>
      <c r="AB24" s="2" t="str">
        <f>IF('Input-EWEMs'!$D34="", "",IFERROR(INDEX('Input-EWEMs'!$Y34:$Z34,MATCH("Other",'Input-EWEMs'!$Y$10:$Z$10,0)),0))</f>
        <v/>
      </c>
      <c r="AC24" s="2" t="str">
        <f>IF('Input-EWEMs'!$D34="", "",'Input-EWEMs'!AA34)</f>
        <v/>
      </c>
      <c r="AD24" s="2" t="str">
        <f>IF('Input-EWEMs'!$D34="", "",IFERROR(INDEX('Input-EWEMs'!$AB34:$AC34,MATCH("Natural Gas",'Input-EWEMs'!$AB$10:$AC$10,0)),0))</f>
        <v/>
      </c>
      <c r="AE24" s="2" t="str">
        <f>IF('Input-EWEMs'!$D34="", "",IFERROR(INDEX('Input-EWEMs'!$AB34:$AC34,MATCH("Fuel Oil #2",'Input-EWEMs'!$AB$10:$AC$10,0)),0))</f>
        <v/>
      </c>
      <c r="AF24" s="2" t="str">
        <f>IF('Input-EWEMs'!$D34="", "",IFERROR(INDEX('Input-EWEMs'!$AB34:$AC34,MATCH("Fuel Oil #4",'Input-EWEMs'!$AB$10:$AC$10,0)),0))</f>
        <v/>
      </c>
      <c r="AG24" s="2" t="str">
        <f>IF('Input-EWEMs'!$D34="", "",IFERROR(INDEX('Input-EWEMs'!$AB34:$AC34,MATCH("Fuel Oil #6",'Input-EWEMs'!$AB$10:$AC$10,0)),0))</f>
        <v/>
      </c>
      <c r="AH24" s="2" t="str">
        <f>IF('Input-EWEMs'!$D34="", "",IFERROR(INDEX('Input-EWEMs'!$AB34:$AC34,MATCH("District Steam",'Input-EWEMs'!$AB$10:$AC$10,0)),0))</f>
        <v/>
      </c>
      <c r="AI24" s="2" t="str">
        <f>IF('Input-EWEMs'!$D34="", "",IFERROR(INDEX('Input-EWEMs'!$AB34:$AC34,MATCH("Propane",'Input-EWEMs'!$AB$10:$AC$10,0)),0))</f>
        <v/>
      </c>
      <c r="AJ24" s="2" t="str">
        <f>IF('Input-EWEMs'!$D34="", "",IFERROR(INDEX('Input-EWEMs'!$AB34:$AC34,MATCH("District Hot Water",'Input-EWEMs'!$AB$10:$AC$10,0)),0))</f>
        <v/>
      </c>
      <c r="AK24" s="2" t="str">
        <f>IF('Input-EWEMs'!$D34="", "",IFERROR(INDEX('Input-EWEMs'!$AB34:$AC34,MATCH("District Chilled Water",'Input-EWEMs'!$AB$10:$AC$10,0)),0))</f>
        <v/>
      </c>
      <c r="AL24" s="2" t="str">
        <f>IF('Input-EWEMs'!$D34="", "",IFERROR(INDEX('Input-EWEMs'!$AB34:$AC34,MATCH("Other",'Input-EWEMs'!$AB$10:$AC$10,0)),0))</f>
        <v/>
      </c>
      <c r="AM24" s="2" t="str">
        <f>IF('Input-EWEMs'!$D34="", "",SUM(S24:AB24))</f>
        <v/>
      </c>
      <c r="AN24" s="2" t="str">
        <f>IF('Input-EWEMs'!$D34="", "",SUM(AC24:AL24))</f>
        <v/>
      </c>
      <c r="AO24" s="2" t="str">
        <f>IF('Input-EWEMs'!$D34="", "",'Input-EWEMs'!AF34)</f>
        <v/>
      </c>
      <c r="AP24" s="2" t="str">
        <f>IF('Input-EWEMs'!$D34="", "",'Input-EWEMs'!AH34)</f>
        <v/>
      </c>
      <c r="AQ24" s="2" t="str">
        <f>IF('Input-EWEMs'!$D34="", "",IFERROR(AN24/SUM('DB-Utilities'!$M$2:$M$4),""))</f>
        <v/>
      </c>
      <c r="AR24" s="2" t="str">
        <f>IF('Input-EWEMs'!$D34="", "",'Input-EWEMs'!AJ34)</f>
        <v/>
      </c>
      <c r="AS24" s="2" t="str">
        <f>IF('Input-EWEMs'!$D34="", "",'Input-EWEMs'!AK34)</f>
        <v/>
      </c>
      <c r="AT24" s="2" t="str">
        <f t="shared" si="1"/>
        <v/>
      </c>
      <c r="AU24" s="2" t="str">
        <f>IF('Input-EWEMs'!$D34="", "",IFERROR('Input-EWEMs'!T34*INDEX(Assumptions!$H$6:$H$17,MATCH('Input-EWEMs'!T$11,Assumptions!$C$6:$C$17,0)),0)+IFERROR('Input-EWEMs'!U34*INDEX(Assumptions!$H$6:$H$17,MATCH('Input-EWEMs'!U$11,Assumptions!$C$6:$C$17,0)),0)+IFERROR('Input-EWEMs'!V34*INDEX(Assumptions!$H$6:$H$17,MATCH('Input-EWEMs'!V$11,Assumptions!$C$6:$C$17,0)),0))</f>
        <v/>
      </c>
      <c r="AV24" s="2" t="str">
        <f>IF('Input-EWEMs'!$D34="", "",ROUND('Input-EWEMs'!K34,0))</f>
        <v/>
      </c>
      <c r="AW24" s="2" t="str">
        <f>IF('Input-EWEMs'!$D34="", "",ROUND('Input-EWEMs'!L34,0))</f>
        <v/>
      </c>
    </row>
    <row r="25" spans="1:49" x14ac:dyDescent="0.2">
      <c r="A25" s="2"/>
      <c r="B25" s="2" t="str">
        <f>IF('Input-EWEMs'!D35="","",IF(COUNTIF('Input-EWEMs'!C$52:C$61,'Input-EWEMs'!C35)&lt;1,'Lender Validation'!B67,"No"))</f>
        <v/>
      </c>
      <c r="C25" s="2" t="str">
        <f>IF('Input-EWEMs'!$D35="", "", 'Input-EWEMs'!C35)</f>
        <v/>
      </c>
      <c r="D25" s="2" t="str">
        <f>IF('Input-EWEMs'!$D35="", "", 'Input-EWEMs'!D35)</f>
        <v/>
      </c>
      <c r="E25" s="2" t="str">
        <f>IF('Input-EWEMs'!$D35="", "", IFERROR(INDEX('Reference-MeasureList'!$Q$7:$Q$10,MATCH('Input-EWEMs'!E35,'Reference-MeasureList'!$P$7:$P$10,0)),'Input-EWEMs'!E35))</f>
        <v/>
      </c>
      <c r="F25" s="2" t="str">
        <f>IF('Input-EWEMs'!$D35="", "", 'Input-EWEMs'!F35)</f>
        <v/>
      </c>
      <c r="G25" s="2" t="str">
        <f>IF('Input-EWEMs'!$D35="", "", 'Input-EWEMs'!G35)</f>
        <v/>
      </c>
      <c r="H25" s="2" t="str">
        <f>IF('Input-EWEMs'!$H35="", "", 'Input-EWEMs'!H35)</f>
        <v/>
      </c>
      <c r="I25" s="2" t="str">
        <f>IF('Input-EWEMs'!$I35="", "", 'Input-EWEMs'!I35)</f>
        <v/>
      </c>
      <c r="J25" s="2" t="str">
        <f>IF('Input-EWEMs'!$I35="", "", I25/'DB-Properties'!$K$2)</f>
        <v/>
      </c>
      <c r="K25" s="2" t="str">
        <f>IF('Input-EWEMs'!$D35="", "",ROUND('Input-EWEMs'!M35,0))</f>
        <v/>
      </c>
      <c r="L25" s="2" t="str">
        <f>IF('Input-EWEMs'!$D35="", "",SUM(O25,R25))</f>
        <v/>
      </c>
      <c r="M25" s="2" t="str">
        <f>IF('Input-EWEMs'!$D35="", "",ROUND('Input-EWEMs'!N35,0))</f>
        <v/>
      </c>
      <c r="N25" s="2" t="str">
        <f>IF('Input-EWEMs'!$D35="", "",ROUND('Input-EWEMs'!O35,0))</f>
        <v/>
      </c>
      <c r="O25" s="2" t="str">
        <f>IF('Input-EWEMs'!$D35="", "",ROUND('Input-EWEMs'!P35,0))</f>
        <v/>
      </c>
      <c r="P25" s="2" t="str">
        <f>IF('Input-EWEMs'!$D35="", "",ROUND('Input-EWEMs'!Q35,0))</f>
        <v/>
      </c>
      <c r="Q25" s="2" t="str">
        <f>IF('Input-EWEMs'!$D35="", "",ROUND('Input-EWEMs'!R35,0))</f>
        <v/>
      </c>
      <c r="R25" s="2" t="str">
        <f>IF('Input-EWEMs'!$D35="", "",ROUND('Input-EWEMs'!S35,0))</f>
        <v/>
      </c>
      <c r="S25" s="2" t="str">
        <f>IF('Input-EWEMs'!$D35="", "",'Input-EWEMs'!X35)</f>
        <v/>
      </c>
      <c r="T25" s="2" t="str">
        <f>IF('Input-EWEMs'!$D35="", "",IFERROR(INDEX('Input-EWEMs'!$Y35:$Z35,MATCH("Natural Gas",'Input-EWEMs'!$Y$10:$Z$10,0)),0))</f>
        <v/>
      </c>
      <c r="U25" s="2" t="str">
        <f>IF('Input-EWEMs'!$D35="", "",IFERROR(INDEX('Input-EWEMs'!$Y35:$Z35,MATCH("Fuel Oil #2",'Input-EWEMs'!$Y$10:$Z$10,0)),0))</f>
        <v/>
      </c>
      <c r="V25" s="2" t="str">
        <f>IF('Input-EWEMs'!$D35="", "",IFERROR(INDEX('Input-EWEMs'!$Y35:$Z35,MATCH("Fuel Oil #4",'Input-EWEMs'!$Y$10:$Z$10,0)),0))</f>
        <v/>
      </c>
      <c r="W25" s="2" t="str">
        <f>IF('Input-EWEMs'!$D35="", "",IFERROR(INDEX('Input-EWEMs'!$Y35:$Z35,MATCH("Fuel Oil #6",'Input-EWEMs'!$Y$10:$Z$10,0)),0))</f>
        <v/>
      </c>
      <c r="X25" s="2" t="str">
        <f>IF('Input-EWEMs'!$D35="", "",IFERROR(INDEX('Input-EWEMs'!$Y35:$Z35,MATCH("District Steam",'Input-EWEMs'!$Y$10:$Z$10,0)),0))</f>
        <v/>
      </c>
      <c r="Y25" s="2" t="str">
        <f>IF('Input-EWEMs'!$D35="", "",IFERROR(INDEX('Input-EWEMs'!$Y35:$Z35,MATCH("Propane",'Input-EWEMs'!$Y$10:$Z$10,0)),0))</f>
        <v/>
      </c>
      <c r="Z25" s="2" t="str">
        <f>IF('Input-EWEMs'!$D35="", "",IFERROR(INDEX('Input-EWEMs'!$Y35:$Z35,MATCH("District Hot Water",'Input-EWEMs'!$Y$10:$Z$10,0)),0))</f>
        <v/>
      </c>
      <c r="AA25" s="2" t="str">
        <f>IF('Input-EWEMs'!$D35="", "",IFERROR(INDEX('Input-EWEMs'!$Y35:$Z35,MATCH("District Chilled Water",'Input-EWEMs'!$Y$10:$Z$10,0)),0))</f>
        <v/>
      </c>
      <c r="AB25" s="2" t="str">
        <f>IF('Input-EWEMs'!$D35="", "",IFERROR(INDEX('Input-EWEMs'!$Y35:$Z35,MATCH("Other",'Input-EWEMs'!$Y$10:$Z$10,0)),0))</f>
        <v/>
      </c>
      <c r="AC25" s="2" t="str">
        <f>IF('Input-EWEMs'!$D35="", "",'Input-EWEMs'!AA35)</f>
        <v/>
      </c>
      <c r="AD25" s="2" t="str">
        <f>IF('Input-EWEMs'!$D35="", "",IFERROR(INDEX('Input-EWEMs'!$AB35:$AC35,MATCH("Natural Gas",'Input-EWEMs'!$AB$10:$AC$10,0)),0))</f>
        <v/>
      </c>
      <c r="AE25" s="2" t="str">
        <f>IF('Input-EWEMs'!$D35="", "",IFERROR(INDEX('Input-EWEMs'!$AB35:$AC35,MATCH("Fuel Oil #2",'Input-EWEMs'!$AB$10:$AC$10,0)),0))</f>
        <v/>
      </c>
      <c r="AF25" s="2" t="str">
        <f>IF('Input-EWEMs'!$D35="", "",IFERROR(INDEX('Input-EWEMs'!$AB35:$AC35,MATCH("Fuel Oil #4",'Input-EWEMs'!$AB$10:$AC$10,0)),0))</f>
        <v/>
      </c>
      <c r="AG25" s="2" t="str">
        <f>IF('Input-EWEMs'!$D35="", "",IFERROR(INDEX('Input-EWEMs'!$AB35:$AC35,MATCH("Fuel Oil #6",'Input-EWEMs'!$AB$10:$AC$10,0)),0))</f>
        <v/>
      </c>
      <c r="AH25" s="2" t="str">
        <f>IF('Input-EWEMs'!$D35="", "",IFERROR(INDEX('Input-EWEMs'!$AB35:$AC35,MATCH("District Steam",'Input-EWEMs'!$AB$10:$AC$10,0)),0))</f>
        <v/>
      </c>
      <c r="AI25" s="2" t="str">
        <f>IF('Input-EWEMs'!$D35="", "",IFERROR(INDEX('Input-EWEMs'!$AB35:$AC35,MATCH("Propane",'Input-EWEMs'!$AB$10:$AC$10,0)),0))</f>
        <v/>
      </c>
      <c r="AJ25" s="2" t="str">
        <f>IF('Input-EWEMs'!$D35="", "",IFERROR(INDEX('Input-EWEMs'!$AB35:$AC35,MATCH("District Hot Water",'Input-EWEMs'!$AB$10:$AC$10,0)),0))</f>
        <v/>
      </c>
      <c r="AK25" s="2" t="str">
        <f>IF('Input-EWEMs'!$D35="", "",IFERROR(INDEX('Input-EWEMs'!$AB35:$AC35,MATCH("District Chilled Water",'Input-EWEMs'!$AB$10:$AC$10,0)),0))</f>
        <v/>
      </c>
      <c r="AL25" s="2" t="str">
        <f>IF('Input-EWEMs'!$D35="", "",IFERROR(INDEX('Input-EWEMs'!$AB35:$AC35,MATCH("Other",'Input-EWEMs'!$AB$10:$AC$10,0)),0))</f>
        <v/>
      </c>
      <c r="AM25" s="2" t="str">
        <f>IF('Input-EWEMs'!$D35="", "",SUM(S25:AB25))</f>
        <v/>
      </c>
      <c r="AN25" s="2" t="str">
        <f>IF('Input-EWEMs'!$D35="", "",SUM(AC25:AL25))</f>
        <v/>
      </c>
      <c r="AO25" s="2" t="str">
        <f>IF('Input-EWEMs'!$D35="", "",'Input-EWEMs'!AF35)</f>
        <v/>
      </c>
      <c r="AP25" s="2" t="str">
        <f>IF('Input-EWEMs'!$D35="", "",'Input-EWEMs'!AH35)</f>
        <v/>
      </c>
      <c r="AQ25" s="2" t="str">
        <f>IF('Input-EWEMs'!$D35="", "",IFERROR(AN25/SUM('DB-Utilities'!$M$2:$M$4),""))</f>
        <v/>
      </c>
      <c r="AR25" s="2" t="str">
        <f>IF('Input-EWEMs'!$D35="", "",'Input-EWEMs'!AJ35)</f>
        <v/>
      </c>
      <c r="AS25" s="2" t="str">
        <f>IF('Input-EWEMs'!$D35="", "",'Input-EWEMs'!AK35)</f>
        <v/>
      </c>
      <c r="AT25" s="2" t="str">
        <f t="shared" si="1"/>
        <v/>
      </c>
      <c r="AU25" s="2" t="str">
        <f>IF('Input-EWEMs'!$D35="", "",IFERROR('Input-EWEMs'!T35*INDEX(Assumptions!$H$6:$H$17,MATCH('Input-EWEMs'!T$11,Assumptions!$C$6:$C$17,0)),0)+IFERROR('Input-EWEMs'!U35*INDEX(Assumptions!$H$6:$H$17,MATCH('Input-EWEMs'!U$11,Assumptions!$C$6:$C$17,0)),0)+IFERROR('Input-EWEMs'!V35*INDEX(Assumptions!$H$6:$H$17,MATCH('Input-EWEMs'!V$11,Assumptions!$C$6:$C$17,0)),0))</f>
        <v/>
      </c>
      <c r="AV25" s="2" t="str">
        <f>IF('Input-EWEMs'!$D35="", "",ROUND('Input-EWEMs'!K35,0))</f>
        <v/>
      </c>
      <c r="AW25" s="2" t="str">
        <f>IF('Input-EWEMs'!$D35="", "",ROUND('Input-EWEMs'!L35,0))</f>
        <v/>
      </c>
    </row>
    <row r="26" spans="1:49" x14ac:dyDescent="0.2">
      <c r="A26" s="2"/>
      <c r="B26" s="2" t="str">
        <f>IF('Input-EWEMs'!D36="","",IF(COUNTIF('Input-EWEMs'!C$52:C$61,'Input-EWEMs'!C36)&lt;1,'Lender Validation'!B68,"No"))</f>
        <v/>
      </c>
      <c r="C26" s="2" t="str">
        <f>IF('Input-EWEMs'!$D36="", "", 'Input-EWEMs'!C36)</f>
        <v/>
      </c>
      <c r="D26" s="2" t="str">
        <f>IF('Input-EWEMs'!$D36="", "", 'Input-EWEMs'!D36)</f>
        <v/>
      </c>
      <c r="E26" s="2" t="str">
        <f>IF('Input-EWEMs'!$D36="", "", IFERROR(INDEX('Reference-MeasureList'!$Q$7:$Q$10,MATCH('Input-EWEMs'!E36,'Reference-MeasureList'!$P$7:$P$10,0)),'Input-EWEMs'!E36))</f>
        <v/>
      </c>
      <c r="F26" s="2" t="str">
        <f>IF('Input-EWEMs'!$D36="", "", 'Input-EWEMs'!F36)</f>
        <v/>
      </c>
      <c r="G26" s="2" t="str">
        <f>IF('Input-EWEMs'!$D36="", "", 'Input-EWEMs'!G36)</f>
        <v/>
      </c>
      <c r="H26" s="2" t="str">
        <f>IF('Input-EWEMs'!$H36="", "", 'Input-EWEMs'!H36)</f>
        <v/>
      </c>
      <c r="I26" s="2" t="str">
        <f>IF('Input-EWEMs'!$I36="", "", 'Input-EWEMs'!I36)</f>
        <v/>
      </c>
      <c r="J26" s="2" t="str">
        <f>IF('Input-EWEMs'!$I36="", "", I26/'DB-Properties'!$K$2)</f>
        <v/>
      </c>
      <c r="K26" s="2" t="str">
        <f>IF('Input-EWEMs'!$D36="", "",ROUND('Input-EWEMs'!M36,0))</f>
        <v/>
      </c>
      <c r="L26" s="2" t="str">
        <f>IF('Input-EWEMs'!$D36="", "",SUM(O26,R26))</f>
        <v/>
      </c>
      <c r="M26" s="2" t="str">
        <f>IF('Input-EWEMs'!$D36="", "",ROUND('Input-EWEMs'!N36,0))</f>
        <v/>
      </c>
      <c r="N26" s="2" t="str">
        <f>IF('Input-EWEMs'!$D36="", "",ROUND('Input-EWEMs'!O36,0))</f>
        <v/>
      </c>
      <c r="O26" s="2" t="str">
        <f>IF('Input-EWEMs'!$D36="", "",ROUND('Input-EWEMs'!P36,0))</f>
        <v/>
      </c>
      <c r="P26" s="2" t="str">
        <f>IF('Input-EWEMs'!$D36="", "",ROUND('Input-EWEMs'!Q36,0))</f>
        <v/>
      </c>
      <c r="Q26" s="2" t="str">
        <f>IF('Input-EWEMs'!$D36="", "",ROUND('Input-EWEMs'!R36,0))</f>
        <v/>
      </c>
      <c r="R26" s="2" t="str">
        <f>IF('Input-EWEMs'!$D36="", "",ROUND('Input-EWEMs'!S36,0))</f>
        <v/>
      </c>
      <c r="S26" s="2" t="str">
        <f>IF('Input-EWEMs'!$D36="", "",'Input-EWEMs'!X36)</f>
        <v/>
      </c>
      <c r="T26" s="2" t="str">
        <f>IF('Input-EWEMs'!$D36="", "",IFERROR(INDEX('Input-EWEMs'!$Y36:$Z36,MATCH("Natural Gas",'Input-EWEMs'!$Y$10:$Z$10,0)),0))</f>
        <v/>
      </c>
      <c r="U26" s="2" t="str">
        <f>IF('Input-EWEMs'!$D36="", "",IFERROR(INDEX('Input-EWEMs'!$Y36:$Z36,MATCH("Fuel Oil #2",'Input-EWEMs'!$Y$10:$Z$10,0)),0))</f>
        <v/>
      </c>
      <c r="V26" s="2" t="str">
        <f>IF('Input-EWEMs'!$D36="", "",IFERROR(INDEX('Input-EWEMs'!$Y36:$Z36,MATCH("Fuel Oil #4",'Input-EWEMs'!$Y$10:$Z$10,0)),0))</f>
        <v/>
      </c>
      <c r="W26" s="2" t="str">
        <f>IF('Input-EWEMs'!$D36="", "",IFERROR(INDEX('Input-EWEMs'!$Y36:$Z36,MATCH("Fuel Oil #6",'Input-EWEMs'!$Y$10:$Z$10,0)),0))</f>
        <v/>
      </c>
      <c r="X26" s="2" t="str">
        <f>IF('Input-EWEMs'!$D36="", "",IFERROR(INDEX('Input-EWEMs'!$Y36:$Z36,MATCH("District Steam",'Input-EWEMs'!$Y$10:$Z$10,0)),0))</f>
        <v/>
      </c>
      <c r="Y26" s="2" t="str">
        <f>IF('Input-EWEMs'!$D36="", "",IFERROR(INDEX('Input-EWEMs'!$Y36:$Z36,MATCH("Propane",'Input-EWEMs'!$Y$10:$Z$10,0)),0))</f>
        <v/>
      </c>
      <c r="Z26" s="2" t="str">
        <f>IF('Input-EWEMs'!$D36="", "",IFERROR(INDEX('Input-EWEMs'!$Y36:$Z36,MATCH("District Hot Water",'Input-EWEMs'!$Y$10:$Z$10,0)),0))</f>
        <v/>
      </c>
      <c r="AA26" s="2" t="str">
        <f>IF('Input-EWEMs'!$D36="", "",IFERROR(INDEX('Input-EWEMs'!$Y36:$Z36,MATCH("District Chilled Water",'Input-EWEMs'!$Y$10:$Z$10,0)),0))</f>
        <v/>
      </c>
      <c r="AB26" s="2" t="str">
        <f>IF('Input-EWEMs'!$D36="", "",IFERROR(INDEX('Input-EWEMs'!$Y36:$Z36,MATCH("Other",'Input-EWEMs'!$Y$10:$Z$10,0)),0))</f>
        <v/>
      </c>
      <c r="AC26" s="2" t="str">
        <f>IF('Input-EWEMs'!$D36="", "",'Input-EWEMs'!AA36)</f>
        <v/>
      </c>
      <c r="AD26" s="2" t="str">
        <f>IF('Input-EWEMs'!$D36="", "",IFERROR(INDEX('Input-EWEMs'!$AB36:$AC36,MATCH("Natural Gas",'Input-EWEMs'!$AB$10:$AC$10,0)),0))</f>
        <v/>
      </c>
      <c r="AE26" s="2" t="str">
        <f>IF('Input-EWEMs'!$D36="", "",IFERROR(INDEX('Input-EWEMs'!$AB36:$AC36,MATCH("Fuel Oil #2",'Input-EWEMs'!$AB$10:$AC$10,0)),0))</f>
        <v/>
      </c>
      <c r="AF26" s="2" t="str">
        <f>IF('Input-EWEMs'!$D36="", "",IFERROR(INDEX('Input-EWEMs'!$AB36:$AC36,MATCH("Fuel Oil #4",'Input-EWEMs'!$AB$10:$AC$10,0)),0))</f>
        <v/>
      </c>
      <c r="AG26" s="2" t="str">
        <f>IF('Input-EWEMs'!$D36="", "",IFERROR(INDEX('Input-EWEMs'!$AB36:$AC36,MATCH("Fuel Oil #6",'Input-EWEMs'!$AB$10:$AC$10,0)),0))</f>
        <v/>
      </c>
      <c r="AH26" s="2" t="str">
        <f>IF('Input-EWEMs'!$D36="", "",IFERROR(INDEX('Input-EWEMs'!$AB36:$AC36,MATCH("District Steam",'Input-EWEMs'!$AB$10:$AC$10,0)),0))</f>
        <v/>
      </c>
      <c r="AI26" s="2" t="str">
        <f>IF('Input-EWEMs'!$D36="", "",IFERROR(INDEX('Input-EWEMs'!$AB36:$AC36,MATCH("Propane",'Input-EWEMs'!$AB$10:$AC$10,0)),0))</f>
        <v/>
      </c>
      <c r="AJ26" s="2" t="str">
        <f>IF('Input-EWEMs'!$D36="", "",IFERROR(INDEX('Input-EWEMs'!$AB36:$AC36,MATCH("District Hot Water",'Input-EWEMs'!$AB$10:$AC$10,0)),0))</f>
        <v/>
      </c>
      <c r="AK26" s="2" t="str">
        <f>IF('Input-EWEMs'!$D36="", "",IFERROR(INDEX('Input-EWEMs'!$AB36:$AC36,MATCH("District Chilled Water",'Input-EWEMs'!$AB$10:$AC$10,0)),0))</f>
        <v/>
      </c>
      <c r="AL26" s="2" t="str">
        <f>IF('Input-EWEMs'!$D36="", "",IFERROR(INDEX('Input-EWEMs'!$AB36:$AC36,MATCH("Other",'Input-EWEMs'!$AB$10:$AC$10,0)),0))</f>
        <v/>
      </c>
      <c r="AM26" s="2" t="str">
        <f>IF('Input-EWEMs'!$D36="", "",SUM(S26:AB26))</f>
        <v/>
      </c>
      <c r="AN26" s="2" t="str">
        <f>IF('Input-EWEMs'!$D36="", "",SUM(AC26:AL26))</f>
        <v/>
      </c>
      <c r="AO26" s="2" t="str">
        <f>IF('Input-EWEMs'!$D36="", "",'Input-EWEMs'!AF36)</f>
        <v/>
      </c>
      <c r="AP26" s="2" t="str">
        <f>IF('Input-EWEMs'!$D36="", "",'Input-EWEMs'!AH36)</f>
        <v/>
      </c>
      <c r="AQ26" s="2" t="str">
        <f>IF('Input-EWEMs'!$D36="", "",IFERROR(AN26/SUM('DB-Utilities'!$M$2:$M$4),""))</f>
        <v/>
      </c>
      <c r="AR26" s="2" t="str">
        <f>IF('Input-EWEMs'!$D36="", "",'Input-EWEMs'!AJ36)</f>
        <v/>
      </c>
      <c r="AS26" s="2" t="str">
        <f>IF('Input-EWEMs'!$D36="", "",'Input-EWEMs'!AK36)</f>
        <v/>
      </c>
      <c r="AT26" s="2" t="str">
        <f t="shared" si="1"/>
        <v/>
      </c>
      <c r="AU26" s="2" t="str">
        <f>IF('Input-EWEMs'!$D36="", "",IFERROR('Input-EWEMs'!T36*INDEX(Assumptions!$H$6:$H$17,MATCH('Input-EWEMs'!T$11,Assumptions!$C$6:$C$17,0)),0)+IFERROR('Input-EWEMs'!U36*INDEX(Assumptions!$H$6:$H$17,MATCH('Input-EWEMs'!U$11,Assumptions!$C$6:$C$17,0)),0)+IFERROR('Input-EWEMs'!V36*INDEX(Assumptions!$H$6:$H$17,MATCH('Input-EWEMs'!V$11,Assumptions!$C$6:$C$17,0)),0))</f>
        <v/>
      </c>
      <c r="AV26" s="2" t="str">
        <f>IF('Input-EWEMs'!$D36="", "",ROUND('Input-EWEMs'!K36,0))</f>
        <v/>
      </c>
      <c r="AW26" s="2" t="str">
        <f>IF('Input-EWEMs'!$D36="", "",ROUND('Input-EWEMs'!L36,0))</f>
        <v/>
      </c>
    </row>
    <row r="27" spans="1:49" x14ac:dyDescent="0.2">
      <c r="A27" s="2"/>
      <c r="B27" s="2" t="str">
        <f>IF('Input-EWEMs'!D37="","",IF(COUNTIF('Input-EWEMs'!C$52:C$61,'Input-EWEMs'!C37)&lt;1,'Lender Validation'!B69,"No"))</f>
        <v/>
      </c>
      <c r="C27" s="2" t="str">
        <f>IF('Input-EWEMs'!$D37="", "", 'Input-EWEMs'!C37)</f>
        <v/>
      </c>
      <c r="D27" s="2" t="str">
        <f>IF('Input-EWEMs'!$D37="", "", 'Input-EWEMs'!D37)</f>
        <v/>
      </c>
      <c r="E27" s="2" t="str">
        <f>IF('Input-EWEMs'!$D37="", "", IFERROR(INDEX('Reference-MeasureList'!$Q$7:$Q$10,MATCH('Input-EWEMs'!E37,'Reference-MeasureList'!$P$7:$P$10,0)),'Input-EWEMs'!E37))</f>
        <v/>
      </c>
      <c r="F27" s="2" t="str">
        <f>IF('Input-EWEMs'!$D37="", "", 'Input-EWEMs'!F37)</f>
        <v/>
      </c>
      <c r="G27" s="2" t="str">
        <f>IF('Input-EWEMs'!$D37="", "", 'Input-EWEMs'!G37)</f>
        <v/>
      </c>
      <c r="H27" s="2" t="str">
        <f>IF('Input-EWEMs'!$H37="", "", 'Input-EWEMs'!H37)</f>
        <v/>
      </c>
      <c r="I27" s="2" t="str">
        <f>IF('Input-EWEMs'!$I37="", "", 'Input-EWEMs'!I37)</f>
        <v/>
      </c>
      <c r="J27" s="2" t="str">
        <f>IF('Input-EWEMs'!$I37="", "", I27/'DB-Properties'!$K$2)</f>
        <v/>
      </c>
      <c r="K27" s="2" t="str">
        <f>IF('Input-EWEMs'!$D37="", "",ROUND('Input-EWEMs'!M37,0))</f>
        <v/>
      </c>
      <c r="L27" s="2" t="str">
        <f>IF('Input-EWEMs'!$D37="", "",SUM(O27,R27))</f>
        <v/>
      </c>
      <c r="M27" s="2" t="str">
        <f>IF('Input-EWEMs'!$D37="", "",ROUND('Input-EWEMs'!N37,0))</f>
        <v/>
      </c>
      <c r="N27" s="2" t="str">
        <f>IF('Input-EWEMs'!$D37="", "",ROUND('Input-EWEMs'!O37,0))</f>
        <v/>
      </c>
      <c r="O27" s="2" t="str">
        <f>IF('Input-EWEMs'!$D37="", "",ROUND('Input-EWEMs'!P37,0))</f>
        <v/>
      </c>
      <c r="P27" s="2" t="str">
        <f>IF('Input-EWEMs'!$D37="", "",ROUND('Input-EWEMs'!Q37,0))</f>
        <v/>
      </c>
      <c r="Q27" s="2" t="str">
        <f>IF('Input-EWEMs'!$D37="", "",ROUND('Input-EWEMs'!R37,0))</f>
        <v/>
      </c>
      <c r="R27" s="2" t="str">
        <f>IF('Input-EWEMs'!$D37="", "",ROUND('Input-EWEMs'!S37,0))</f>
        <v/>
      </c>
      <c r="S27" s="2" t="str">
        <f>IF('Input-EWEMs'!$D37="", "",'Input-EWEMs'!X37)</f>
        <v/>
      </c>
      <c r="T27" s="2" t="str">
        <f>IF('Input-EWEMs'!$D37="", "",IFERROR(INDEX('Input-EWEMs'!$Y37:$Z37,MATCH("Natural Gas",'Input-EWEMs'!$Y$10:$Z$10,0)),0))</f>
        <v/>
      </c>
      <c r="U27" s="2" t="str">
        <f>IF('Input-EWEMs'!$D37="", "",IFERROR(INDEX('Input-EWEMs'!$Y37:$Z37,MATCH("Fuel Oil #2",'Input-EWEMs'!$Y$10:$Z$10,0)),0))</f>
        <v/>
      </c>
      <c r="V27" s="2" t="str">
        <f>IF('Input-EWEMs'!$D37="", "",IFERROR(INDEX('Input-EWEMs'!$Y37:$Z37,MATCH("Fuel Oil #4",'Input-EWEMs'!$Y$10:$Z$10,0)),0))</f>
        <v/>
      </c>
      <c r="W27" s="2" t="str">
        <f>IF('Input-EWEMs'!$D37="", "",IFERROR(INDEX('Input-EWEMs'!$Y37:$Z37,MATCH("Fuel Oil #6",'Input-EWEMs'!$Y$10:$Z$10,0)),0))</f>
        <v/>
      </c>
      <c r="X27" s="2" t="str">
        <f>IF('Input-EWEMs'!$D37="", "",IFERROR(INDEX('Input-EWEMs'!$Y37:$Z37,MATCH("District Steam",'Input-EWEMs'!$Y$10:$Z$10,0)),0))</f>
        <v/>
      </c>
      <c r="Y27" s="2" t="str">
        <f>IF('Input-EWEMs'!$D37="", "",IFERROR(INDEX('Input-EWEMs'!$Y37:$Z37,MATCH("Propane",'Input-EWEMs'!$Y$10:$Z$10,0)),0))</f>
        <v/>
      </c>
      <c r="Z27" s="2" t="str">
        <f>IF('Input-EWEMs'!$D37="", "",IFERROR(INDEX('Input-EWEMs'!$Y37:$Z37,MATCH("District Hot Water",'Input-EWEMs'!$Y$10:$Z$10,0)),0))</f>
        <v/>
      </c>
      <c r="AA27" s="2" t="str">
        <f>IF('Input-EWEMs'!$D37="", "",IFERROR(INDEX('Input-EWEMs'!$Y37:$Z37,MATCH("District Chilled Water",'Input-EWEMs'!$Y$10:$Z$10,0)),0))</f>
        <v/>
      </c>
      <c r="AB27" s="2" t="str">
        <f>IF('Input-EWEMs'!$D37="", "",IFERROR(INDEX('Input-EWEMs'!$Y37:$Z37,MATCH("Other",'Input-EWEMs'!$Y$10:$Z$10,0)),0))</f>
        <v/>
      </c>
      <c r="AC27" s="2" t="str">
        <f>IF('Input-EWEMs'!$D37="", "",'Input-EWEMs'!AA37)</f>
        <v/>
      </c>
      <c r="AD27" s="2" t="str">
        <f>IF('Input-EWEMs'!$D37="", "",IFERROR(INDEX('Input-EWEMs'!$AB37:$AC37,MATCH("Natural Gas",'Input-EWEMs'!$AB$10:$AC$10,0)),0))</f>
        <v/>
      </c>
      <c r="AE27" s="2" t="str">
        <f>IF('Input-EWEMs'!$D37="", "",IFERROR(INDEX('Input-EWEMs'!$AB37:$AC37,MATCH("Fuel Oil #2",'Input-EWEMs'!$AB$10:$AC$10,0)),0))</f>
        <v/>
      </c>
      <c r="AF27" s="2" t="str">
        <f>IF('Input-EWEMs'!$D37="", "",IFERROR(INDEX('Input-EWEMs'!$AB37:$AC37,MATCH("Fuel Oil #4",'Input-EWEMs'!$AB$10:$AC$10,0)),0))</f>
        <v/>
      </c>
      <c r="AG27" s="2" t="str">
        <f>IF('Input-EWEMs'!$D37="", "",IFERROR(INDEX('Input-EWEMs'!$AB37:$AC37,MATCH("Fuel Oil #6",'Input-EWEMs'!$AB$10:$AC$10,0)),0))</f>
        <v/>
      </c>
      <c r="AH27" s="2" t="str">
        <f>IF('Input-EWEMs'!$D37="", "",IFERROR(INDEX('Input-EWEMs'!$AB37:$AC37,MATCH("District Steam",'Input-EWEMs'!$AB$10:$AC$10,0)),0))</f>
        <v/>
      </c>
      <c r="AI27" s="2" t="str">
        <f>IF('Input-EWEMs'!$D37="", "",IFERROR(INDEX('Input-EWEMs'!$AB37:$AC37,MATCH("Propane",'Input-EWEMs'!$AB$10:$AC$10,0)),0))</f>
        <v/>
      </c>
      <c r="AJ27" s="2" t="str">
        <f>IF('Input-EWEMs'!$D37="", "",IFERROR(INDEX('Input-EWEMs'!$AB37:$AC37,MATCH("District Hot Water",'Input-EWEMs'!$AB$10:$AC$10,0)),0))</f>
        <v/>
      </c>
      <c r="AK27" s="2" t="str">
        <f>IF('Input-EWEMs'!$D37="", "",IFERROR(INDEX('Input-EWEMs'!$AB37:$AC37,MATCH("District Chilled Water",'Input-EWEMs'!$AB$10:$AC$10,0)),0))</f>
        <v/>
      </c>
      <c r="AL27" s="2" t="str">
        <f>IF('Input-EWEMs'!$D37="", "",IFERROR(INDEX('Input-EWEMs'!$AB37:$AC37,MATCH("Other",'Input-EWEMs'!$AB$10:$AC$10,0)),0))</f>
        <v/>
      </c>
      <c r="AM27" s="2" t="str">
        <f>IF('Input-EWEMs'!$D37="", "",SUM(S27:AB27))</f>
        <v/>
      </c>
      <c r="AN27" s="2" t="str">
        <f>IF('Input-EWEMs'!$D37="", "",SUM(AC27:AL27))</f>
        <v/>
      </c>
      <c r="AO27" s="2" t="str">
        <f>IF('Input-EWEMs'!$D37="", "",'Input-EWEMs'!AF37)</f>
        <v/>
      </c>
      <c r="AP27" s="2" t="str">
        <f>IF('Input-EWEMs'!$D37="", "",'Input-EWEMs'!AH37)</f>
        <v/>
      </c>
      <c r="AQ27" s="2" t="str">
        <f>IF('Input-EWEMs'!$D37="", "",IFERROR(AN27/SUM('DB-Utilities'!$M$2:$M$4),""))</f>
        <v/>
      </c>
      <c r="AR27" s="2" t="str">
        <f>IF('Input-EWEMs'!$D37="", "",'Input-EWEMs'!AJ37)</f>
        <v/>
      </c>
      <c r="AS27" s="2" t="str">
        <f>IF('Input-EWEMs'!$D37="", "",'Input-EWEMs'!AK37)</f>
        <v/>
      </c>
      <c r="AT27" s="2" t="str">
        <f t="shared" si="1"/>
        <v/>
      </c>
      <c r="AU27" s="2" t="str">
        <f>IF('Input-EWEMs'!$D37="", "",IFERROR('Input-EWEMs'!T37*INDEX(Assumptions!$H$6:$H$17,MATCH('Input-EWEMs'!T$11,Assumptions!$C$6:$C$17,0)),0)+IFERROR('Input-EWEMs'!U37*INDEX(Assumptions!$H$6:$H$17,MATCH('Input-EWEMs'!U$11,Assumptions!$C$6:$C$17,0)),0)+IFERROR('Input-EWEMs'!V37*INDEX(Assumptions!$H$6:$H$17,MATCH('Input-EWEMs'!V$11,Assumptions!$C$6:$C$17,0)),0))</f>
        <v/>
      </c>
      <c r="AV27" s="2" t="str">
        <f>IF('Input-EWEMs'!$D37="", "",ROUND('Input-EWEMs'!K37,0))</f>
        <v/>
      </c>
      <c r="AW27" s="2" t="str">
        <f>IF('Input-EWEMs'!$D37="", "",ROUND('Input-EWEMs'!L37,0))</f>
        <v/>
      </c>
    </row>
    <row r="28" spans="1:49" x14ac:dyDescent="0.2">
      <c r="A28" s="2"/>
      <c r="B28" s="2" t="str">
        <f>IF('Input-EWEMs'!D38="","",IF(COUNTIF('Input-EWEMs'!C$52:C$61,'Input-EWEMs'!C38)&lt;1,'Lender Validation'!B70,"No"))</f>
        <v/>
      </c>
      <c r="C28" s="2" t="str">
        <f>IF('Input-EWEMs'!$D38="", "", 'Input-EWEMs'!C38)</f>
        <v/>
      </c>
      <c r="D28" s="2" t="str">
        <f>IF('Input-EWEMs'!$D38="", "", 'Input-EWEMs'!D38)</f>
        <v/>
      </c>
      <c r="E28" s="2" t="str">
        <f>IF('Input-EWEMs'!$D38="", "", IFERROR(INDEX('Reference-MeasureList'!$Q$7:$Q$10,MATCH('Input-EWEMs'!E38,'Reference-MeasureList'!$P$7:$P$10,0)),'Input-EWEMs'!E38))</f>
        <v/>
      </c>
      <c r="F28" s="2" t="str">
        <f>IF('Input-EWEMs'!$D38="", "", 'Input-EWEMs'!F38)</f>
        <v/>
      </c>
      <c r="G28" s="2" t="str">
        <f>IF('Input-EWEMs'!$D38="", "", 'Input-EWEMs'!G38)</f>
        <v/>
      </c>
      <c r="H28" s="2" t="str">
        <f>IF('Input-EWEMs'!$H38="", "", 'Input-EWEMs'!H38)</f>
        <v/>
      </c>
      <c r="I28" s="2" t="str">
        <f>IF('Input-EWEMs'!$I38="", "", 'Input-EWEMs'!I38)</f>
        <v/>
      </c>
      <c r="J28" s="2" t="str">
        <f>IF('Input-EWEMs'!$I38="", "", I28/'DB-Properties'!$K$2)</f>
        <v/>
      </c>
      <c r="K28" s="2" t="str">
        <f>IF('Input-EWEMs'!$D38="", "",ROUND('Input-EWEMs'!M38,0))</f>
        <v/>
      </c>
      <c r="L28" s="2" t="str">
        <f>IF('Input-EWEMs'!$D38="", "",SUM(O28,R28))</f>
        <v/>
      </c>
      <c r="M28" s="2" t="str">
        <f>IF('Input-EWEMs'!$D38="", "",ROUND('Input-EWEMs'!N38,0))</f>
        <v/>
      </c>
      <c r="N28" s="2" t="str">
        <f>IF('Input-EWEMs'!$D38="", "",ROUND('Input-EWEMs'!O38,0))</f>
        <v/>
      </c>
      <c r="O28" s="2" t="str">
        <f>IF('Input-EWEMs'!$D38="", "",ROUND('Input-EWEMs'!P38,0))</f>
        <v/>
      </c>
      <c r="P28" s="2" t="str">
        <f>IF('Input-EWEMs'!$D38="", "",ROUND('Input-EWEMs'!Q38,0))</f>
        <v/>
      </c>
      <c r="Q28" s="2" t="str">
        <f>IF('Input-EWEMs'!$D38="", "",ROUND('Input-EWEMs'!R38,0))</f>
        <v/>
      </c>
      <c r="R28" s="2" t="str">
        <f>IF('Input-EWEMs'!$D38="", "",ROUND('Input-EWEMs'!S38,0))</f>
        <v/>
      </c>
      <c r="S28" s="2" t="str">
        <f>IF('Input-EWEMs'!$D38="", "",'Input-EWEMs'!X38)</f>
        <v/>
      </c>
      <c r="T28" s="2" t="str">
        <f>IF('Input-EWEMs'!$D38="", "",IFERROR(INDEX('Input-EWEMs'!$Y38:$Z38,MATCH("Natural Gas",'Input-EWEMs'!$Y$10:$Z$10,0)),0))</f>
        <v/>
      </c>
      <c r="U28" s="2" t="str">
        <f>IF('Input-EWEMs'!$D38="", "",IFERROR(INDEX('Input-EWEMs'!$Y38:$Z38,MATCH("Fuel Oil #2",'Input-EWEMs'!$Y$10:$Z$10,0)),0))</f>
        <v/>
      </c>
      <c r="V28" s="2" t="str">
        <f>IF('Input-EWEMs'!$D38="", "",IFERROR(INDEX('Input-EWEMs'!$Y38:$Z38,MATCH("Fuel Oil #4",'Input-EWEMs'!$Y$10:$Z$10,0)),0))</f>
        <v/>
      </c>
      <c r="W28" s="2" t="str">
        <f>IF('Input-EWEMs'!$D38="", "",IFERROR(INDEX('Input-EWEMs'!$Y38:$Z38,MATCH("Fuel Oil #6",'Input-EWEMs'!$Y$10:$Z$10,0)),0))</f>
        <v/>
      </c>
      <c r="X28" s="2" t="str">
        <f>IF('Input-EWEMs'!$D38="", "",IFERROR(INDEX('Input-EWEMs'!$Y38:$Z38,MATCH("District Steam",'Input-EWEMs'!$Y$10:$Z$10,0)),0))</f>
        <v/>
      </c>
      <c r="Y28" s="2" t="str">
        <f>IF('Input-EWEMs'!$D38="", "",IFERROR(INDEX('Input-EWEMs'!$Y38:$Z38,MATCH("Propane",'Input-EWEMs'!$Y$10:$Z$10,0)),0))</f>
        <v/>
      </c>
      <c r="Z28" s="2" t="str">
        <f>IF('Input-EWEMs'!$D38="", "",IFERROR(INDEX('Input-EWEMs'!$Y38:$Z38,MATCH("District Hot Water",'Input-EWEMs'!$Y$10:$Z$10,0)),0))</f>
        <v/>
      </c>
      <c r="AA28" s="2" t="str">
        <f>IF('Input-EWEMs'!$D38="", "",IFERROR(INDEX('Input-EWEMs'!$Y38:$Z38,MATCH("District Chilled Water",'Input-EWEMs'!$Y$10:$Z$10,0)),0))</f>
        <v/>
      </c>
      <c r="AB28" s="2" t="str">
        <f>IF('Input-EWEMs'!$D38="", "",IFERROR(INDEX('Input-EWEMs'!$Y38:$Z38,MATCH("Other",'Input-EWEMs'!$Y$10:$Z$10,0)),0))</f>
        <v/>
      </c>
      <c r="AC28" s="2" t="str">
        <f>IF('Input-EWEMs'!$D38="", "",'Input-EWEMs'!AA38)</f>
        <v/>
      </c>
      <c r="AD28" s="2" t="str">
        <f>IF('Input-EWEMs'!$D38="", "",IFERROR(INDEX('Input-EWEMs'!$AB38:$AC38,MATCH("Natural Gas",'Input-EWEMs'!$AB$10:$AC$10,0)),0))</f>
        <v/>
      </c>
      <c r="AE28" s="2" t="str">
        <f>IF('Input-EWEMs'!$D38="", "",IFERROR(INDEX('Input-EWEMs'!$AB38:$AC38,MATCH("Fuel Oil #2",'Input-EWEMs'!$AB$10:$AC$10,0)),0))</f>
        <v/>
      </c>
      <c r="AF28" s="2" t="str">
        <f>IF('Input-EWEMs'!$D38="", "",IFERROR(INDEX('Input-EWEMs'!$AB38:$AC38,MATCH("Fuel Oil #4",'Input-EWEMs'!$AB$10:$AC$10,0)),0))</f>
        <v/>
      </c>
      <c r="AG28" s="2" t="str">
        <f>IF('Input-EWEMs'!$D38="", "",IFERROR(INDEX('Input-EWEMs'!$AB38:$AC38,MATCH("Fuel Oil #6",'Input-EWEMs'!$AB$10:$AC$10,0)),0))</f>
        <v/>
      </c>
      <c r="AH28" s="2" t="str">
        <f>IF('Input-EWEMs'!$D38="", "",IFERROR(INDEX('Input-EWEMs'!$AB38:$AC38,MATCH("District Steam",'Input-EWEMs'!$AB$10:$AC$10,0)),0))</f>
        <v/>
      </c>
      <c r="AI28" s="2" t="str">
        <f>IF('Input-EWEMs'!$D38="", "",IFERROR(INDEX('Input-EWEMs'!$AB38:$AC38,MATCH("Propane",'Input-EWEMs'!$AB$10:$AC$10,0)),0))</f>
        <v/>
      </c>
      <c r="AJ28" s="2" t="str">
        <f>IF('Input-EWEMs'!$D38="", "",IFERROR(INDEX('Input-EWEMs'!$AB38:$AC38,MATCH("District Hot Water",'Input-EWEMs'!$AB$10:$AC$10,0)),0))</f>
        <v/>
      </c>
      <c r="AK28" s="2" t="str">
        <f>IF('Input-EWEMs'!$D38="", "",IFERROR(INDEX('Input-EWEMs'!$AB38:$AC38,MATCH("District Chilled Water",'Input-EWEMs'!$AB$10:$AC$10,0)),0))</f>
        <v/>
      </c>
      <c r="AL28" s="2" t="str">
        <f>IF('Input-EWEMs'!$D38="", "",IFERROR(INDEX('Input-EWEMs'!$AB38:$AC38,MATCH("Other",'Input-EWEMs'!$AB$10:$AC$10,0)),0))</f>
        <v/>
      </c>
      <c r="AM28" s="2" t="str">
        <f>IF('Input-EWEMs'!$D38="", "",SUM(S28:AB28))</f>
        <v/>
      </c>
      <c r="AN28" s="2" t="str">
        <f>IF('Input-EWEMs'!$D38="", "",SUM(AC28:AL28))</f>
        <v/>
      </c>
      <c r="AO28" s="2" t="str">
        <f>IF('Input-EWEMs'!$D38="", "",'Input-EWEMs'!AF38)</f>
        <v/>
      </c>
      <c r="AP28" s="2" t="str">
        <f>IF('Input-EWEMs'!$D38="", "",'Input-EWEMs'!AH38)</f>
        <v/>
      </c>
      <c r="AQ28" s="2" t="str">
        <f>IF('Input-EWEMs'!$D38="", "",IFERROR(AN28/SUM('DB-Utilities'!$M$2:$M$4),""))</f>
        <v/>
      </c>
      <c r="AR28" s="2" t="str">
        <f>IF('Input-EWEMs'!$D38="", "",'Input-EWEMs'!AJ38)</f>
        <v/>
      </c>
      <c r="AS28" s="2" t="str">
        <f>IF('Input-EWEMs'!$D38="", "",'Input-EWEMs'!AK38)</f>
        <v/>
      </c>
      <c r="AT28" s="2" t="str">
        <f t="shared" si="1"/>
        <v/>
      </c>
      <c r="AU28" s="2" t="str">
        <f>IF('Input-EWEMs'!$D38="", "",IFERROR('Input-EWEMs'!T38*INDEX(Assumptions!$H$6:$H$17,MATCH('Input-EWEMs'!T$11,Assumptions!$C$6:$C$17,0)),0)+IFERROR('Input-EWEMs'!U38*INDEX(Assumptions!$H$6:$H$17,MATCH('Input-EWEMs'!U$11,Assumptions!$C$6:$C$17,0)),0)+IFERROR('Input-EWEMs'!V38*INDEX(Assumptions!$H$6:$H$17,MATCH('Input-EWEMs'!V$11,Assumptions!$C$6:$C$17,0)),0))</f>
        <v/>
      </c>
      <c r="AV28" s="2" t="str">
        <f>IF('Input-EWEMs'!$D38="", "",ROUND('Input-EWEMs'!K38,0))</f>
        <v/>
      </c>
      <c r="AW28" s="2" t="str">
        <f>IF('Input-EWEMs'!$D38="", "",ROUND('Input-EWEMs'!L38,0))</f>
        <v/>
      </c>
    </row>
    <row r="29" spans="1:49" x14ac:dyDescent="0.2">
      <c r="A29" s="2"/>
      <c r="B29" s="2" t="str">
        <f>IF('Input-EWEMs'!D39="","",IF(COUNTIF('Input-EWEMs'!C$52:C$61,'Input-EWEMs'!C39)&lt;1,'Lender Validation'!B71,"No"))</f>
        <v/>
      </c>
      <c r="C29" s="2" t="str">
        <f>IF('Input-EWEMs'!$D39="", "", 'Input-EWEMs'!C39)</f>
        <v/>
      </c>
      <c r="D29" s="2" t="str">
        <f>IF('Input-EWEMs'!$D39="", "", 'Input-EWEMs'!D39)</f>
        <v/>
      </c>
      <c r="E29" s="2" t="str">
        <f>IF('Input-EWEMs'!$D39="", "", IFERROR(INDEX('Reference-MeasureList'!$Q$7:$Q$10,MATCH('Input-EWEMs'!E39,'Reference-MeasureList'!$P$7:$P$10,0)),'Input-EWEMs'!E39))</f>
        <v/>
      </c>
      <c r="F29" s="2" t="str">
        <f>IF('Input-EWEMs'!$D39="", "", 'Input-EWEMs'!F39)</f>
        <v/>
      </c>
      <c r="G29" s="2" t="str">
        <f>IF('Input-EWEMs'!$D39="", "", 'Input-EWEMs'!G39)</f>
        <v/>
      </c>
      <c r="H29" s="2" t="str">
        <f>IF('Input-EWEMs'!$H39="", "", 'Input-EWEMs'!H39)</f>
        <v/>
      </c>
      <c r="I29" s="2" t="str">
        <f>IF('Input-EWEMs'!$I39="", "", 'Input-EWEMs'!I39)</f>
        <v/>
      </c>
      <c r="J29" s="2" t="str">
        <f>IF('Input-EWEMs'!$I39="", "", I29/'DB-Properties'!$K$2)</f>
        <v/>
      </c>
      <c r="K29" s="2" t="str">
        <f>IF('Input-EWEMs'!$D39="", "",ROUND('Input-EWEMs'!M39,0))</f>
        <v/>
      </c>
      <c r="L29" s="2" t="str">
        <f>IF('Input-EWEMs'!$D39="", "",SUM(O29,R29))</f>
        <v/>
      </c>
      <c r="M29" s="2" t="str">
        <f>IF('Input-EWEMs'!$D39="", "",ROUND('Input-EWEMs'!N39,0))</f>
        <v/>
      </c>
      <c r="N29" s="2" t="str">
        <f>IF('Input-EWEMs'!$D39="", "",ROUND('Input-EWEMs'!O39,0))</f>
        <v/>
      </c>
      <c r="O29" s="2" t="str">
        <f>IF('Input-EWEMs'!$D39="", "",ROUND('Input-EWEMs'!P39,0))</f>
        <v/>
      </c>
      <c r="P29" s="2" t="str">
        <f>IF('Input-EWEMs'!$D39="", "",ROUND('Input-EWEMs'!Q39,0))</f>
        <v/>
      </c>
      <c r="Q29" s="2" t="str">
        <f>IF('Input-EWEMs'!$D39="", "",ROUND('Input-EWEMs'!R39,0))</f>
        <v/>
      </c>
      <c r="R29" s="2" t="str">
        <f>IF('Input-EWEMs'!$D39="", "",ROUND('Input-EWEMs'!S39,0))</f>
        <v/>
      </c>
      <c r="S29" s="2" t="str">
        <f>IF('Input-EWEMs'!$D39="", "",'Input-EWEMs'!X39)</f>
        <v/>
      </c>
      <c r="T29" s="2" t="str">
        <f>IF('Input-EWEMs'!$D39="", "",IFERROR(INDEX('Input-EWEMs'!$Y39:$Z39,MATCH("Natural Gas",'Input-EWEMs'!$Y$10:$Z$10,0)),0))</f>
        <v/>
      </c>
      <c r="U29" s="2" t="str">
        <f>IF('Input-EWEMs'!$D39="", "",IFERROR(INDEX('Input-EWEMs'!$Y39:$Z39,MATCH("Fuel Oil #2",'Input-EWEMs'!$Y$10:$Z$10,0)),0))</f>
        <v/>
      </c>
      <c r="V29" s="2" t="str">
        <f>IF('Input-EWEMs'!$D39="", "",IFERROR(INDEX('Input-EWEMs'!$Y39:$Z39,MATCH("Fuel Oil #4",'Input-EWEMs'!$Y$10:$Z$10,0)),0))</f>
        <v/>
      </c>
      <c r="W29" s="2" t="str">
        <f>IF('Input-EWEMs'!$D39="", "",IFERROR(INDEX('Input-EWEMs'!$Y39:$Z39,MATCH("Fuel Oil #6",'Input-EWEMs'!$Y$10:$Z$10,0)),0))</f>
        <v/>
      </c>
      <c r="X29" s="2" t="str">
        <f>IF('Input-EWEMs'!$D39="", "",IFERROR(INDEX('Input-EWEMs'!$Y39:$Z39,MATCH("District Steam",'Input-EWEMs'!$Y$10:$Z$10,0)),0))</f>
        <v/>
      </c>
      <c r="Y29" s="2" t="str">
        <f>IF('Input-EWEMs'!$D39="", "",IFERROR(INDEX('Input-EWEMs'!$Y39:$Z39,MATCH("Propane",'Input-EWEMs'!$Y$10:$Z$10,0)),0))</f>
        <v/>
      </c>
      <c r="Z29" s="2" t="str">
        <f>IF('Input-EWEMs'!$D39="", "",IFERROR(INDEX('Input-EWEMs'!$Y39:$Z39,MATCH("District Hot Water",'Input-EWEMs'!$Y$10:$Z$10,0)),0))</f>
        <v/>
      </c>
      <c r="AA29" s="2" t="str">
        <f>IF('Input-EWEMs'!$D39="", "",IFERROR(INDEX('Input-EWEMs'!$Y39:$Z39,MATCH("District Chilled Water",'Input-EWEMs'!$Y$10:$Z$10,0)),0))</f>
        <v/>
      </c>
      <c r="AB29" s="2" t="str">
        <f>IF('Input-EWEMs'!$D39="", "",IFERROR(INDEX('Input-EWEMs'!$Y39:$Z39,MATCH("Other",'Input-EWEMs'!$Y$10:$Z$10,0)),0))</f>
        <v/>
      </c>
      <c r="AC29" s="2" t="str">
        <f>IF('Input-EWEMs'!$D39="", "",'Input-EWEMs'!AA39)</f>
        <v/>
      </c>
      <c r="AD29" s="2" t="str">
        <f>IF('Input-EWEMs'!$D39="", "",IFERROR(INDEX('Input-EWEMs'!$AB39:$AC39,MATCH("Natural Gas",'Input-EWEMs'!$AB$10:$AC$10,0)),0))</f>
        <v/>
      </c>
      <c r="AE29" s="2" t="str">
        <f>IF('Input-EWEMs'!$D39="", "",IFERROR(INDEX('Input-EWEMs'!$AB39:$AC39,MATCH("Fuel Oil #2",'Input-EWEMs'!$AB$10:$AC$10,0)),0))</f>
        <v/>
      </c>
      <c r="AF29" s="2" t="str">
        <f>IF('Input-EWEMs'!$D39="", "",IFERROR(INDEX('Input-EWEMs'!$AB39:$AC39,MATCH("Fuel Oil #4",'Input-EWEMs'!$AB$10:$AC$10,0)),0))</f>
        <v/>
      </c>
      <c r="AG29" s="2" t="str">
        <f>IF('Input-EWEMs'!$D39="", "",IFERROR(INDEX('Input-EWEMs'!$AB39:$AC39,MATCH("Fuel Oil #6",'Input-EWEMs'!$AB$10:$AC$10,0)),0))</f>
        <v/>
      </c>
      <c r="AH29" s="2" t="str">
        <f>IF('Input-EWEMs'!$D39="", "",IFERROR(INDEX('Input-EWEMs'!$AB39:$AC39,MATCH("District Steam",'Input-EWEMs'!$AB$10:$AC$10,0)),0))</f>
        <v/>
      </c>
      <c r="AI29" s="2" t="str">
        <f>IF('Input-EWEMs'!$D39="", "",IFERROR(INDEX('Input-EWEMs'!$AB39:$AC39,MATCH("Propane",'Input-EWEMs'!$AB$10:$AC$10,0)),0))</f>
        <v/>
      </c>
      <c r="AJ29" s="2" t="str">
        <f>IF('Input-EWEMs'!$D39="", "",IFERROR(INDEX('Input-EWEMs'!$AB39:$AC39,MATCH("District Hot Water",'Input-EWEMs'!$AB$10:$AC$10,0)),0))</f>
        <v/>
      </c>
      <c r="AK29" s="2" t="str">
        <f>IF('Input-EWEMs'!$D39="", "",IFERROR(INDEX('Input-EWEMs'!$AB39:$AC39,MATCH("District Chilled Water",'Input-EWEMs'!$AB$10:$AC$10,0)),0))</f>
        <v/>
      </c>
      <c r="AL29" s="2" t="str">
        <f>IF('Input-EWEMs'!$D39="", "",IFERROR(INDEX('Input-EWEMs'!$AB39:$AC39,MATCH("Other",'Input-EWEMs'!$AB$10:$AC$10,0)),0))</f>
        <v/>
      </c>
      <c r="AM29" s="2" t="str">
        <f>IF('Input-EWEMs'!$D39="", "",SUM(S29:AB29))</f>
        <v/>
      </c>
      <c r="AN29" s="2" t="str">
        <f>IF('Input-EWEMs'!$D39="", "",SUM(AC29:AL29))</f>
        <v/>
      </c>
      <c r="AO29" s="2" t="str">
        <f>IF('Input-EWEMs'!$D39="", "",'Input-EWEMs'!AF39)</f>
        <v/>
      </c>
      <c r="AP29" s="2" t="str">
        <f>IF('Input-EWEMs'!$D39="", "",'Input-EWEMs'!AH39)</f>
        <v/>
      </c>
      <c r="AQ29" s="2" t="str">
        <f>IF('Input-EWEMs'!$D39="", "",IFERROR(AN29/SUM('DB-Utilities'!$M$2:$M$4),""))</f>
        <v/>
      </c>
      <c r="AR29" s="2" t="str">
        <f>IF('Input-EWEMs'!$D39="", "",'Input-EWEMs'!AJ39)</f>
        <v/>
      </c>
      <c r="AS29" s="2" t="str">
        <f>IF('Input-EWEMs'!$D39="", "",'Input-EWEMs'!AK39)</f>
        <v/>
      </c>
      <c r="AT29" s="2" t="str">
        <f t="shared" si="1"/>
        <v/>
      </c>
      <c r="AU29" s="2" t="str">
        <f>IF('Input-EWEMs'!$D39="", "",IFERROR('Input-EWEMs'!T39*INDEX(Assumptions!$H$6:$H$17,MATCH('Input-EWEMs'!T$11,Assumptions!$C$6:$C$17,0)),0)+IFERROR('Input-EWEMs'!U39*INDEX(Assumptions!$H$6:$H$17,MATCH('Input-EWEMs'!U$11,Assumptions!$C$6:$C$17,0)),0)+IFERROR('Input-EWEMs'!V39*INDEX(Assumptions!$H$6:$H$17,MATCH('Input-EWEMs'!V$11,Assumptions!$C$6:$C$17,0)),0))</f>
        <v/>
      </c>
      <c r="AV29" s="2" t="str">
        <f>IF('Input-EWEMs'!$D39="", "",ROUND('Input-EWEMs'!K39,0))</f>
        <v/>
      </c>
      <c r="AW29" s="2" t="str">
        <f>IF('Input-EWEMs'!$D39="", "",ROUND('Input-EWEMs'!L39,0))</f>
        <v/>
      </c>
    </row>
    <row r="30" spans="1:49" x14ac:dyDescent="0.2">
      <c r="A30" s="2"/>
      <c r="B30" s="2" t="str">
        <f>IF('Input-EWEMs'!D40="","",IF(COUNTIF('Input-EWEMs'!C$52:C$61,'Input-EWEMs'!C40)&lt;1,'Lender Validation'!B72,"No"))</f>
        <v/>
      </c>
      <c r="C30" s="2" t="str">
        <f>IF('Input-EWEMs'!$D40="", "", 'Input-EWEMs'!C40)</f>
        <v/>
      </c>
      <c r="D30" s="2" t="str">
        <f>IF('Input-EWEMs'!$D40="", "", 'Input-EWEMs'!D40)</f>
        <v/>
      </c>
      <c r="E30" s="2" t="str">
        <f>IF('Input-EWEMs'!$D40="", "", IFERROR(INDEX('Reference-MeasureList'!$Q$7:$Q$10,MATCH('Input-EWEMs'!E40,'Reference-MeasureList'!$P$7:$P$10,0)),'Input-EWEMs'!E40))</f>
        <v/>
      </c>
      <c r="F30" s="2" t="str">
        <f>IF('Input-EWEMs'!$D40="", "", 'Input-EWEMs'!F40)</f>
        <v/>
      </c>
      <c r="G30" s="2" t="str">
        <f>IF('Input-EWEMs'!$D40="", "", 'Input-EWEMs'!G40)</f>
        <v/>
      </c>
      <c r="H30" s="2" t="str">
        <f>IF('Input-EWEMs'!$H40="", "", 'Input-EWEMs'!H40)</f>
        <v/>
      </c>
      <c r="I30" s="2" t="str">
        <f>IF('Input-EWEMs'!$I40="", "", 'Input-EWEMs'!I40)</f>
        <v/>
      </c>
      <c r="J30" s="2" t="str">
        <f>IF('Input-EWEMs'!$I40="", "", I30/'DB-Properties'!$K$2)</f>
        <v/>
      </c>
      <c r="K30" s="2" t="str">
        <f>IF('Input-EWEMs'!$D40="", "",ROUND('Input-EWEMs'!M40,0))</f>
        <v/>
      </c>
      <c r="L30" s="2" t="str">
        <f>IF('Input-EWEMs'!$D40="", "",SUM(O30,R30))</f>
        <v/>
      </c>
      <c r="M30" s="2" t="str">
        <f>IF('Input-EWEMs'!$D40="", "",ROUND('Input-EWEMs'!N40,0))</f>
        <v/>
      </c>
      <c r="N30" s="2" t="str">
        <f>IF('Input-EWEMs'!$D40="", "",ROUND('Input-EWEMs'!O40,0))</f>
        <v/>
      </c>
      <c r="O30" s="2" t="str">
        <f>IF('Input-EWEMs'!$D40="", "",ROUND('Input-EWEMs'!P40,0))</f>
        <v/>
      </c>
      <c r="P30" s="2" t="str">
        <f>IF('Input-EWEMs'!$D40="", "",ROUND('Input-EWEMs'!Q40,0))</f>
        <v/>
      </c>
      <c r="Q30" s="2" t="str">
        <f>IF('Input-EWEMs'!$D40="", "",ROUND('Input-EWEMs'!R40,0))</f>
        <v/>
      </c>
      <c r="R30" s="2" t="str">
        <f>IF('Input-EWEMs'!$D40="", "",ROUND('Input-EWEMs'!S40,0))</f>
        <v/>
      </c>
      <c r="S30" s="2" t="str">
        <f>IF('Input-EWEMs'!$D40="", "",'Input-EWEMs'!X40)</f>
        <v/>
      </c>
      <c r="T30" s="2" t="str">
        <f>IF('Input-EWEMs'!$D40="", "",IFERROR(INDEX('Input-EWEMs'!$Y40:$Z40,MATCH("Natural Gas",'Input-EWEMs'!$Y$10:$Z$10,0)),0))</f>
        <v/>
      </c>
      <c r="U30" s="2" t="str">
        <f>IF('Input-EWEMs'!$D40="", "",IFERROR(INDEX('Input-EWEMs'!$Y40:$Z40,MATCH("Fuel Oil #2",'Input-EWEMs'!$Y$10:$Z$10,0)),0))</f>
        <v/>
      </c>
      <c r="V30" s="2" t="str">
        <f>IF('Input-EWEMs'!$D40="", "",IFERROR(INDEX('Input-EWEMs'!$Y40:$Z40,MATCH("Fuel Oil #4",'Input-EWEMs'!$Y$10:$Z$10,0)),0))</f>
        <v/>
      </c>
      <c r="W30" s="2" t="str">
        <f>IF('Input-EWEMs'!$D40="", "",IFERROR(INDEX('Input-EWEMs'!$Y40:$Z40,MATCH("Fuel Oil #6",'Input-EWEMs'!$Y$10:$Z$10,0)),0))</f>
        <v/>
      </c>
      <c r="X30" s="2" t="str">
        <f>IF('Input-EWEMs'!$D40="", "",IFERROR(INDEX('Input-EWEMs'!$Y40:$Z40,MATCH("District Steam",'Input-EWEMs'!$Y$10:$Z$10,0)),0))</f>
        <v/>
      </c>
      <c r="Y30" s="2" t="str">
        <f>IF('Input-EWEMs'!$D40="", "",IFERROR(INDEX('Input-EWEMs'!$Y40:$Z40,MATCH("Propane",'Input-EWEMs'!$Y$10:$Z$10,0)),0))</f>
        <v/>
      </c>
      <c r="Z30" s="2" t="str">
        <f>IF('Input-EWEMs'!$D40="", "",IFERROR(INDEX('Input-EWEMs'!$Y40:$Z40,MATCH("District Hot Water",'Input-EWEMs'!$Y$10:$Z$10,0)),0))</f>
        <v/>
      </c>
      <c r="AA30" s="2" t="str">
        <f>IF('Input-EWEMs'!$D40="", "",IFERROR(INDEX('Input-EWEMs'!$Y40:$Z40,MATCH("District Chilled Water",'Input-EWEMs'!$Y$10:$Z$10,0)),0))</f>
        <v/>
      </c>
      <c r="AB30" s="2" t="str">
        <f>IF('Input-EWEMs'!$D40="", "",IFERROR(INDEX('Input-EWEMs'!$Y40:$Z40,MATCH("Other",'Input-EWEMs'!$Y$10:$Z$10,0)),0))</f>
        <v/>
      </c>
      <c r="AC30" s="2" t="str">
        <f>IF('Input-EWEMs'!$D40="", "",'Input-EWEMs'!AA40)</f>
        <v/>
      </c>
      <c r="AD30" s="2" t="str">
        <f>IF('Input-EWEMs'!$D40="", "",IFERROR(INDEX('Input-EWEMs'!$AB40:$AC40,MATCH("Natural Gas",'Input-EWEMs'!$AB$10:$AC$10,0)),0))</f>
        <v/>
      </c>
      <c r="AE30" s="2" t="str">
        <f>IF('Input-EWEMs'!$D40="", "",IFERROR(INDEX('Input-EWEMs'!$AB40:$AC40,MATCH("Fuel Oil #2",'Input-EWEMs'!$AB$10:$AC$10,0)),0))</f>
        <v/>
      </c>
      <c r="AF30" s="2" t="str">
        <f>IF('Input-EWEMs'!$D40="", "",IFERROR(INDEX('Input-EWEMs'!$AB40:$AC40,MATCH("Fuel Oil #4",'Input-EWEMs'!$AB$10:$AC$10,0)),0))</f>
        <v/>
      </c>
      <c r="AG30" s="2" t="str">
        <f>IF('Input-EWEMs'!$D40="", "",IFERROR(INDEX('Input-EWEMs'!$AB40:$AC40,MATCH("Fuel Oil #6",'Input-EWEMs'!$AB$10:$AC$10,0)),0))</f>
        <v/>
      </c>
      <c r="AH30" s="2" t="str">
        <f>IF('Input-EWEMs'!$D40="", "",IFERROR(INDEX('Input-EWEMs'!$AB40:$AC40,MATCH("District Steam",'Input-EWEMs'!$AB$10:$AC$10,0)),0))</f>
        <v/>
      </c>
      <c r="AI30" s="2" t="str">
        <f>IF('Input-EWEMs'!$D40="", "",IFERROR(INDEX('Input-EWEMs'!$AB40:$AC40,MATCH("Propane",'Input-EWEMs'!$AB$10:$AC$10,0)),0))</f>
        <v/>
      </c>
      <c r="AJ30" s="2" t="str">
        <f>IF('Input-EWEMs'!$D40="", "",IFERROR(INDEX('Input-EWEMs'!$AB40:$AC40,MATCH("District Hot Water",'Input-EWEMs'!$AB$10:$AC$10,0)),0))</f>
        <v/>
      </c>
      <c r="AK30" s="2" t="str">
        <f>IF('Input-EWEMs'!$D40="", "",IFERROR(INDEX('Input-EWEMs'!$AB40:$AC40,MATCH("District Chilled Water",'Input-EWEMs'!$AB$10:$AC$10,0)),0))</f>
        <v/>
      </c>
      <c r="AL30" s="2" t="str">
        <f>IF('Input-EWEMs'!$D40="", "",IFERROR(INDEX('Input-EWEMs'!$AB40:$AC40,MATCH("Other",'Input-EWEMs'!$AB$10:$AC$10,0)),0))</f>
        <v/>
      </c>
      <c r="AM30" s="2" t="str">
        <f>IF('Input-EWEMs'!$D40="", "",SUM(S30:AB30))</f>
        <v/>
      </c>
      <c r="AN30" s="2" t="str">
        <f>IF('Input-EWEMs'!$D40="", "",SUM(AC30:AL30))</f>
        <v/>
      </c>
      <c r="AO30" s="2" t="str">
        <f>IF('Input-EWEMs'!$D40="", "",'Input-EWEMs'!AF40)</f>
        <v/>
      </c>
      <c r="AP30" s="2" t="str">
        <f>IF('Input-EWEMs'!$D40="", "",'Input-EWEMs'!AH40)</f>
        <v/>
      </c>
      <c r="AQ30" s="2" t="str">
        <f>IF('Input-EWEMs'!$D40="", "",IFERROR(AN30/SUM('DB-Utilities'!$M$2:$M$4),""))</f>
        <v/>
      </c>
      <c r="AR30" s="2" t="str">
        <f>IF('Input-EWEMs'!$D40="", "",'Input-EWEMs'!AJ40)</f>
        <v/>
      </c>
      <c r="AS30" s="2" t="str">
        <f>IF('Input-EWEMs'!$D40="", "",'Input-EWEMs'!AK40)</f>
        <v/>
      </c>
      <c r="AT30" s="2" t="str">
        <f t="shared" si="1"/>
        <v/>
      </c>
      <c r="AU30" s="2" t="str">
        <f>IF('Input-EWEMs'!$D40="", "",IFERROR('Input-EWEMs'!T40*INDEX(Assumptions!$H$6:$H$17,MATCH('Input-EWEMs'!T$11,Assumptions!$C$6:$C$17,0)),0)+IFERROR('Input-EWEMs'!U40*INDEX(Assumptions!$H$6:$H$17,MATCH('Input-EWEMs'!U$11,Assumptions!$C$6:$C$17,0)),0)+IFERROR('Input-EWEMs'!V40*INDEX(Assumptions!$H$6:$H$17,MATCH('Input-EWEMs'!V$11,Assumptions!$C$6:$C$17,0)),0))</f>
        <v/>
      </c>
      <c r="AV30" s="2" t="str">
        <f>IF('Input-EWEMs'!$D40="", "",ROUND('Input-EWEMs'!K40,0))</f>
        <v/>
      </c>
      <c r="AW30" s="2" t="str">
        <f>IF('Input-EWEMs'!$D40="", "",ROUND('Input-EWEMs'!L40,0))</f>
        <v/>
      </c>
    </row>
    <row r="31" spans="1:49" x14ac:dyDescent="0.2">
      <c r="A31" s="2"/>
      <c r="B31" s="2" t="str">
        <f>IF('Input-EWEMs'!D41="","",IF(COUNTIF('Input-EWEMs'!C$52:C$61,'Input-EWEMs'!C41)&lt;1,'Lender Validation'!B73,"No"))</f>
        <v/>
      </c>
      <c r="C31" s="2" t="str">
        <f>IF('Input-EWEMs'!$D41="", "", 'Input-EWEMs'!C41)</f>
        <v/>
      </c>
      <c r="D31" s="2" t="str">
        <f>IF('Input-EWEMs'!$D41="", "", 'Input-EWEMs'!D41)</f>
        <v/>
      </c>
      <c r="E31" s="2" t="str">
        <f>IF('Input-EWEMs'!$D41="", "", IFERROR(INDEX('Reference-MeasureList'!$Q$7:$Q$10,MATCH('Input-EWEMs'!E41,'Reference-MeasureList'!$P$7:$P$10,0)),'Input-EWEMs'!E41))</f>
        <v/>
      </c>
      <c r="F31" s="2" t="str">
        <f>IF('Input-EWEMs'!$D41="", "", 'Input-EWEMs'!F41)</f>
        <v/>
      </c>
      <c r="G31" s="2" t="str">
        <f>IF('Input-EWEMs'!$D41="", "", 'Input-EWEMs'!G41)</f>
        <v/>
      </c>
      <c r="H31" s="2" t="str">
        <f>IF('Input-EWEMs'!$H41="", "", 'Input-EWEMs'!H41)</f>
        <v/>
      </c>
      <c r="I31" s="2" t="str">
        <f>IF('Input-EWEMs'!$I41="", "", 'Input-EWEMs'!I41)</f>
        <v/>
      </c>
      <c r="J31" s="2" t="str">
        <f>IF('Input-EWEMs'!$I41="", "", I31/'DB-Properties'!$K$2)</f>
        <v/>
      </c>
      <c r="K31" s="2" t="str">
        <f>IF('Input-EWEMs'!$D41="", "",ROUND('Input-EWEMs'!M41,0))</f>
        <v/>
      </c>
      <c r="L31" s="2" t="str">
        <f>IF('Input-EWEMs'!$D41="", "",SUM(O31,R31))</f>
        <v/>
      </c>
      <c r="M31" s="2" t="str">
        <f>IF('Input-EWEMs'!$D41="", "",ROUND('Input-EWEMs'!N41,0))</f>
        <v/>
      </c>
      <c r="N31" s="2" t="str">
        <f>IF('Input-EWEMs'!$D41="", "",ROUND('Input-EWEMs'!O41,0))</f>
        <v/>
      </c>
      <c r="O31" s="2" t="str">
        <f>IF('Input-EWEMs'!$D41="", "",ROUND('Input-EWEMs'!P41,0))</f>
        <v/>
      </c>
      <c r="P31" s="2" t="str">
        <f>IF('Input-EWEMs'!$D41="", "",ROUND('Input-EWEMs'!Q41,0))</f>
        <v/>
      </c>
      <c r="Q31" s="2" t="str">
        <f>IF('Input-EWEMs'!$D41="", "",ROUND('Input-EWEMs'!R41,0))</f>
        <v/>
      </c>
      <c r="R31" s="2" t="str">
        <f>IF('Input-EWEMs'!$D41="", "",ROUND('Input-EWEMs'!S41,0))</f>
        <v/>
      </c>
      <c r="S31" s="2" t="str">
        <f>IF('Input-EWEMs'!$D41="", "",'Input-EWEMs'!X41)</f>
        <v/>
      </c>
      <c r="T31" s="2" t="str">
        <f>IF('Input-EWEMs'!$D41="", "",IFERROR(INDEX('Input-EWEMs'!$Y41:$Z41,MATCH("Natural Gas",'Input-EWEMs'!$Y$10:$Z$10,0)),0))</f>
        <v/>
      </c>
      <c r="U31" s="2" t="str">
        <f>IF('Input-EWEMs'!$D41="", "",IFERROR(INDEX('Input-EWEMs'!$Y41:$Z41,MATCH("Fuel Oil #2",'Input-EWEMs'!$Y$10:$Z$10,0)),0))</f>
        <v/>
      </c>
      <c r="V31" s="2" t="str">
        <f>IF('Input-EWEMs'!$D41="", "",IFERROR(INDEX('Input-EWEMs'!$Y41:$Z41,MATCH("Fuel Oil #4",'Input-EWEMs'!$Y$10:$Z$10,0)),0))</f>
        <v/>
      </c>
      <c r="W31" s="2" t="str">
        <f>IF('Input-EWEMs'!$D41="", "",IFERROR(INDEX('Input-EWEMs'!$Y41:$Z41,MATCH("Fuel Oil #6",'Input-EWEMs'!$Y$10:$Z$10,0)),0))</f>
        <v/>
      </c>
      <c r="X31" s="2" t="str">
        <f>IF('Input-EWEMs'!$D41="", "",IFERROR(INDEX('Input-EWEMs'!$Y41:$Z41,MATCH("District Steam",'Input-EWEMs'!$Y$10:$Z$10,0)),0))</f>
        <v/>
      </c>
      <c r="Y31" s="2" t="str">
        <f>IF('Input-EWEMs'!$D41="", "",IFERROR(INDEX('Input-EWEMs'!$Y41:$Z41,MATCH("Propane",'Input-EWEMs'!$Y$10:$Z$10,0)),0))</f>
        <v/>
      </c>
      <c r="Z31" s="2" t="str">
        <f>IF('Input-EWEMs'!$D41="", "",IFERROR(INDEX('Input-EWEMs'!$Y41:$Z41,MATCH("District Hot Water",'Input-EWEMs'!$Y$10:$Z$10,0)),0))</f>
        <v/>
      </c>
      <c r="AA31" s="2" t="str">
        <f>IF('Input-EWEMs'!$D41="", "",IFERROR(INDEX('Input-EWEMs'!$Y41:$Z41,MATCH("District Chilled Water",'Input-EWEMs'!$Y$10:$Z$10,0)),0))</f>
        <v/>
      </c>
      <c r="AB31" s="2" t="str">
        <f>IF('Input-EWEMs'!$D41="", "",IFERROR(INDEX('Input-EWEMs'!$Y41:$Z41,MATCH("Other",'Input-EWEMs'!$Y$10:$Z$10,0)),0))</f>
        <v/>
      </c>
      <c r="AC31" s="2" t="str">
        <f>IF('Input-EWEMs'!$D41="", "",'Input-EWEMs'!AA41)</f>
        <v/>
      </c>
      <c r="AD31" s="2" t="str">
        <f>IF('Input-EWEMs'!$D41="", "",IFERROR(INDEX('Input-EWEMs'!$AB41:$AC41,MATCH("Natural Gas",'Input-EWEMs'!$AB$10:$AC$10,0)),0))</f>
        <v/>
      </c>
      <c r="AE31" s="2" t="str">
        <f>IF('Input-EWEMs'!$D41="", "",IFERROR(INDEX('Input-EWEMs'!$AB41:$AC41,MATCH("Fuel Oil #2",'Input-EWEMs'!$AB$10:$AC$10,0)),0))</f>
        <v/>
      </c>
      <c r="AF31" s="2" t="str">
        <f>IF('Input-EWEMs'!$D41="", "",IFERROR(INDEX('Input-EWEMs'!$AB41:$AC41,MATCH("Fuel Oil #4",'Input-EWEMs'!$AB$10:$AC$10,0)),0))</f>
        <v/>
      </c>
      <c r="AG31" s="2" t="str">
        <f>IF('Input-EWEMs'!$D41="", "",IFERROR(INDEX('Input-EWEMs'!$AB41:$AC41,MATCH("Fuel Oil #6",'Input-EWEMs'!$AB$10:$AC$10,0)),0))</f>
        <v/>
      </c>
      <c r="AH31" s="2" t="str">
        <f>IF('Input-EWEMs'!$D41="", "",IFERROR(INDEX('Input-EWEMs'!$AB41:$AC41,MATCH("District Steam",'Input-EWEMs'!$AB$10:$AC$10,0)),0))</f>
        <v/>
      </c>
      <c r="AI31" s="2" t="str">
        <f>IF('Input-EWEMs'!$D41="", "",IFERROR(INDEX('Input-EWEMs'!$AB41:$AC41,MATCH("Propane",'Input-EWEMs'!$AB$10:$AC$10,0)),0))</f>
        <v/>
      </c>
      <c r="AJ31" s="2" t="str">
        <f>IF('Input-EWEMs'!$D41="", "",IFERROR(INDEX('Input-EWEMs'!$AB41:$AC41,MATCH("District Hot Water",'Input-EWEMs'!$AB$10:$AC$10,0)),0))</f>
        <v/>
      </c>
      <c r="AK31" s="2" t="str">
        <f>IF('Input-EWEMs'!$D41="", "",IFERROR(INDEX('Input-EWEMs'!$AB41:$AC41,MATCH("District Chilled Water",'Input-EWEMs'!$AB$10:$AC$10,0)),0))</f>
        <v/>
      </c>
      <c r="AL31" s="2" t="str">
        <f>IF('Input-EWEMs'!$D41="", "",IFERROR(INDEX('Input-EWEMs'!$AB41:$AC41,MATCH("Other",'Input-EWEMs'!$AB$10:$AC$10,0)),0))</f>
        <v/>
      </c>
      <c r="AM31" s="2" t="str">
        <f>IF('Input-EWEMs'!$D41="", "",SUM(S31:AB31))</f>
        <v/>
      </c>
      <c r="AN31" s="2" t="str">
        <f>IF('Input-EWEMs'!$D41="", "",SUM(AC31:AL31))</f>
        <v/>
      </c>
      <c r="AO31" s="2" t="str">
        <f>IF('Input-EWEMs'!$D41="", "",'Input-EWEMs'!AF41)</f>
        <v/>
      </c>
      <c r="AP31" s="2" t="str">
        <f>IF('Input-EWEMs'!$D41="", "",'Input-EWEMs'!AH41)</f>
        <v/>
      </c>
      <c r="AQ31" s="2" t="str">
        <f>IF('Input-EWEMs'!$D41="", "",IFERROR(AN31/SUM('DB-Utilities'!$M$2:$M$4),""))</f>
        <v/>
      </c>
      <c r="AR31" s="2" t="str">
        <f>IF('Input-EWEMs'!$D41="", "",'Input-EWEMs'!AJ41)</f>
        <v/>
      </c>
      <c r="AS31" s="2" t="str">
        <f>IF('Input-EWEMs'!$D41="", "",'Input-EWEMs'!AK41)</f>
        <v/>
      </c>
      <c r="AT31" s="2" t="str">
        <f t="shared" si="1"/>
        <v/>
      </c>
      <c r="AU31" s="2" t="str">
        <f>IF('Input-EWEMs'!$D41="", "",IFERROR('Input-EWEMs'!T41*INDEX(Assumptions!$H$6:$H$17,MATCH('Input-EWEMs'!T$11,Assumptions!$C$6:$C$17,0)),0)+IFERROR('Input-EWEMs'!U41*INDEX(Assumptions!$H$6:$H$17,MATCH('Input-EWEMs'!U$11,Assumptions!$C$6:$C$17,0)),0)+IFERROR('Input-EWEMs'!V41*INDEX(Assumptions!$H$6:$H$17,MATCH('Input-EWEMs'!V$11,Assumptions!$C$6:$C$17,0)),0))</f>
        <v/>
      </c>
      <c r="AV31" s="2" t="str">
        <f>IF('Input-EWEMs'!$D41="", "",ROUND('Input-EWEMs'!K41,0))</f>
        <v/>
      </c>
      <c r="AW31" s="2" t="str">
        <f>IF('Input-EWEMs'!$D41="", "",ROUND('Input-EWEMs'!L41,0))</f>
        <v/>
      </c>
    </row>
  </sheetData>
  <pageMargins left="0.7" right="0.7" top="0.75" bottom="0.75" header="0.3" footer="0.3"/>
  <pageSetup orientation="portrait" verticalDpi="300" r:id="rId1"/>
  <headerFooter>
    <oddFooter>&amp;L_x000D_&amp;1#&amp;"Calibri"&amp;10&amp;K000000 Fannie Mae Confidential</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C000"/>
    <pageSetUpPr autoPageBreaks="0"/>
  </sheetPr>
  <dimension ref="A1:AW12"/>
  <sheetViews>
    <sheetView zoomScaleNormal="100" workbookViewId="0">
      <selection activeCell="C4" sqref="C4:K4"/>
    </sheetView>
  </sheetViews>
  <sheetFormatPr baseColWidth="10" defaultColWidth="8.83203125" defaultRowHeight="15" x14ac:dyDescent="0.2"/>
  <cols>
    <col min="1" max="1" width="7.6640625" customWidth="1"/>
    <col min="5" max="5" width="39.5" customWidth="1"/>
    <col min="19" max="24" width="23.5" customWidth="1"/>
    <col min="25" max="34" width="20.6640625" customWidth="1"/>
    <col min="35" max="38" width="21.5" customWidth="1"/>
    <col min="39" max="39" width="14" customWidth="1"/>
    <col min="40" max="40" width="11" customWidth="1"/>
  </cols>
  <sheetData>
    <row r="1" spans="1:49" x14ac:dyDescent="0.2">
      <c r="A1" s="66" t="s">
        <v>427</v>
      </c>
      <c r="B1" s="66" t="s">
        <v>526</v>
      </c>
      <c r="C1" s="66" t="s">
        <v>527</v>
      </c>
      <c r="D1" s="66" t="s">
        <v>528</v>
      </c>
      <c r="E1" s="66" t="s">
        <v>529</v>
      </c>
      <c r="F1" s="66" t="s">
        <v>530</v>
      </c>
      <c r="G1" s="66" t="s">
        <v>531</v>
      </c>
      <c r="H1" s="66" t="s">
        <v>532</v>
      </c>
      <c r="I1" s="66" t="s">
        <v>533</v>
      </c>
      <c r="J1" s="66" t="s">
        <v>534</v>
      </c>
      <c r="K1" s="66" t="s">
        <v>535</v>
      </c>
      <c r="L1" s="66" t="s">
        <v>536</v>
      </c>
      <c r="M1" s="66" t="s">
        <v>537</v>
      </c>
      <c r="N1" s="66" t="s">
        <v>538</v>
      </c>
      <c r="O1" s="66" t="s">
        <v>539</v>
      </c>
      <c r="P1" s="66" t="s">
        <v>540</v>
      </c>
      <c r="Q1" s="66" t="s">
        <v>541</v>
      </c>
      <c r="R1" s="66" t="s">
        <v>542</v>
      </c>
      <c r="S1" s="66" t="s">
        <v>543</v>
      </c>
      <c r="T1" s="66" t="s">
        <v>544</v>
      </c>
      <c r="U1" s="66" t="s">
        <v>545</v>
      </c>
      <c r="V1" s="66" t="s">
        <v>546</v>
      </c>
      <c r="W1" s="66" t="s">
        <v>547</v>
      </c>
      <c r="X1" s="66" t="s">
        <v>548</v>
      </c>
      <c r="Y1" s="66" t="s">
        <v>549</v>
      </c>
      <c r="Z1" s="671" t="s">
        <v>550</v>
      </c>
      <c r="AA1" s="671" t="s">
        <v>551</v>
      </c>
      <c r="AB1" s="671" t="s">
        <v>552</v>
      </c>
      <c r="AC1" s="66" t="s">
        <v>553</v>
      </c>
      <c r="AD1" s="66" t="s">
        <v>554</v>
      </c>
      <c r="AE1" s="66" t="s">
        <v>555</v>
      </c>
      <c r="AF1" s="66" t="s">
        <v>556</v>
      </c>
      <c r="AG1" s="66" t="s">
        <v>557</v>
      </c>
      <c r="AH1" s="66" t="s">
        <v>558</v>
      </c>
      <c r="AI1" s="66" t="s">
        <v>559</v>
      </c>
      <c r="AJ1" s="671" t="s">
        <v>560</v>
      </c>
      <c r="AK1" s="671" t="s">
        <v>561</v>
      </c>
      <c r="AL1" s="671" t="s">
        <v>562</v>
      </c>
      <c r="AM1" s="671" t="s">
        <v>563</v>
      </c>
      <c r="AN1" s="671" t="s">
        <v>564</v>
      </c>
      <c r="AO1" s="66" t="s">
        <v>565</v>
      </c>
      <c r="AP1" s="66" t="s">
        <v>566</v>
      </c>
      <c r="AQ1" s="66" t="s">
        <v>567</v>
      </c>
      <c r="AR1" s="66" t="s">
        <v>568</v>
      </c>
      <c r="AS1" s="66" t="s">
        <v>387</v>
      </c>
      <c r="AT1" s="66" t="s">
        <v>569</v>
      </c>
      <c r="AU1" s="671" t="s">
        <v>570</v>
      </c>
      <c r="AV1" s="66" t="s">
        <v>571</v>
      </c>
      <c r="AW1" s="66" t="s">
        <v>572</v>
      </c>
    </row>
    <row r="2" spans="1:49" x14ac:dyDescent="0.2">
      <c r="A2" s="2"/>
      <c r="B2" s="2" t="str">
        <f>IF('Input-EWEMs'!$D52="", "",INDEX('Lender Validation'!$B$44:$B$73, MATCH($C2, 'Lender Validation'!$C$44:$C$73, 0)))</f>
        <v/>
      </c>
      <c r="C2" s="2" t="str">
        <f>IF('Input-EWEMs'!$D52="", "", 'Input-EWEMs'!C52)</f>
        <v/>
      </c>
      <c r="D2" s="2" t="str">
        <f>IF('Input-EWEMs'!$D52="", "", 'Input-EWEMs'!D52)</f>
        <v/>
      </c>
      <c r="E2" s="2" t="str">
        <f>IF('Input-EWEMs'!$D52="", "", IFERROR(INDEX('Reference-MeasureList'!$Q$7:$Q$10,MATCH('Input-EWEMs'!E12,'Reference-MeasureList'!$P$7:$P$10,0)),'Input-EWEMs'!E52))</f>
        <v/>
      </c>
      <c r="F2" s="2" t="str">
        <f>IF('Input-EWEMs'!$D52="", "", 'Input-EWEMs'!F52)</f>
        <v/>
      </c>
      <c r="G2" s="2" t="str">
        <f>IF('Input-EWEMs'!$D52="", "", 'Input-EWEMs'!G52)</f>
        <v/>
      </c>
      <c r="H2" s="2" t="str">
        <f>IF('Input-EWEMs'!$H52="", "", 'Input-EWEMs'!H52)</f>
        <v/>
      </c>
      <c r="I2" s="2" t="str">
        <f>IF('Input-EWEMs'!$I52="", "", 'Input-EWEMs'!I52)</f>
        <v/>
      </c>
      <c r="J2" s="2" t="str">
        <f>IF('Input-EWEMs'!$I52="", "", I2/'DB-Properties'!$K$2)</f>
        <v/>
      </c>
      <c r="K2" s="2" t="str">
        <f>IF('Input-EWEMs'!$D52="", "",ROUND('Input-EWEMs'!M52,0))</f>
        <v/>
      </c>
      <c r="L2" s="2" t="str">
        <f>IF('Input-EWEMs'!$D52="", "",SUM(O2,R2))</f>
        <v/>
      </c>
      <c r="M2" s="2" t="str">
        <f>IF('Input-EWEMs'!$D52="", "",ROUND('Input-EWEMs'!N52,0))</f>
        <v/>
      </c>
      <c r="N2" s="2" t="str">
        <f>IF('Input-EWEMs'!$D52="", "",ROUND('Input-EWEMs'!O52,0))</f>
        <v/>
      </c>
      <c r="O2" s="2" t="str">
        <f>IF('Input-EWEMs'!$D52="", "",ROUND('Input-EWEMs'!P52,0))</f>
        <v/>
      </c>
      <c r="P2" s="2" t="str">
        <f>IF('Input-EWEMs'!$D52="", "",ROUND('Input-EWEMs'!Q52,0))</f>
        <v/>
      </c>
      <c r="Q2" s="2" t="str">
        <f>IF('Input-EWEMs'!$D52="", "",ROUND('Input-EWEMs'!R52,0))</f>
        <v/>
      </c>
      <c r="R2" s="2" t="str">
        <f>IF('Input-EWEMs'!$D52="", "",ROUND('Input-EWEMs'!S52,0))</f>
        <v/>
      </c>
      <c r="S2" s="2" t="str">
        <f>IF('Input-EWEMs'!$D52="", "",'Input-EWEMs'!X52)</f>
        <v/>
      </c>
      <c r="T2" s="2" t="str">
        <f>IF('Input-EWEMs'!$D52="", "",IFERROR(INDEX('Input-EWEMs'!$Y52:$Z52,MATCH("Natural Gas",'Input-EWEMs'!$Y$10:$Z$10,0)),0))</f>
        <v/>
      </c>
      <c r="U2" s="2" t="str">
        <f>IF('Input-EWEMs'!$D52="", "",IFERROR(INDEX('Input-EWEMs'!$Y52:$Z52,MATCH("Fuel Oil #2",'Input-EWEMs'!$Y$10:$Z$10,0)),0))</f>
        <v/>
      </c>
      <c r="V2" s="2" t="str">
        <f>IF('Input-EWEMs'!$D52="", "",IFERROR(INDEX('Input-EWEMs'!$Y52:$Z52,MATCH("Fuel Oil #4",'Input-EWEMs'!$Y$10:$Z$10,0)),0))</f>
        <v/>
      </c>
      <c r="W2" s="2" t="str">
        <f>IF('Input-EWEMs'!$D52="", "",IFERROR(INDEX('Input-EWEMs'!$Y52:$Z52,MATCH("Fuel Oil #6",'Input-EWEMs'!$Y$10:$Z$10,0)),0))</f>
        <v/>
      </c>
      <c r="X2" s="2" t="str">
        <f>IF('Input-EWEMs'!$D52="", "",IFERROR(INDEX('Input-EWEMs'!$Y52:$Z52,MATCH("District Steam",'Input-EWEMs'!$Y$10:$Z$10,0)),0))</f>
        <v/>
      </c>
      <c r="Y2" s="2" t="str">
        <f>IF('Input-EWEMs'!$D52="", "",IFERROR(INDEX('Input-EWEMs'!$Y52:$Z52,MATCH("Propane",'Input-EWEMs'!$Y$10:$Z$10,0)),0))</f>
        <v/>
      </c>
      <c r="Z2" s="2" t="str">
        <f>IF('Input-EWEMs'!$D52="", "",IFERROR(INDEX('Input-EWEMs'!$Y52:$Z52,MATCH("District Hot Water",'Input-EWEMs'!$Y$10:$Z$10,0)),0))</f>
        <v/>
      </c>
      <c r="AA2" s="2" t="str">
        <f>IF('Input-EWEMs'!$D52="", "",IFERROR(INDEX('Input-EWEMs'!$Y52:$Z52,MATCH("District Chilled Water",'Input-EWEMs'!$Y$10:$Z$10,0)),0))</f>
        <v/>
      </c>
      <c r="AB2" s="2" t="str">
        <f>IF('Input-EWEMs'!$D52="", "",IFERROR(INDEX('Input-EWEMs'!$Y52:$Z52,MATCH("Other",'Input-EWEMs'!$Y$10:$Z$10,0)),0))</f>
        <v/>
      </c>
      <c r="AC2" s="2" t="str">
        <f>IF('Input-EWEMs'!$D52="", "",'Input-EWEMs'!AA52)</f>
        <v/>
      </c>
      <c r="AD2" s="2" t="str">
        <f>IF('Input-EWEMs'!$D52="", "",IFERROR(INDEX('Input-EWEMs'!$AB52:$AC52,MATCH("Natural Gas",'Input-EWEMs'!$AB$10:$AC$10,0)),0))</f>
        <v/>
      </c>
      <c r="AE2" s="2" t="str">
        <f>IF('Input-EWEMs'!$D52="", "",IFERROR(INDEX('Input-EWEMs'!$AB52:$AC52,MATCH("Fuel Oil #2",'Input-EWEMs'!$AB$10:$AC$10,0)),0))</f>
        <v/>
      </c>
      <c r="AF2" s="2" t="str">
        <f>IF('Input-EWEMs'!$D52="", "",IFERROR(INDEX('Input-EWEMs'!$AB52:$AC52,MATCH("Fuel Oil #4",'Input-EWEMs'!$AB$10:$AC$10,0)),0))</f>
        <v/>
      </c>
      <c r="AG2" s="2" t="str">
        <f>IF('Input-EWEMs'!$D52="", "",IFERROR(INDEX('Input-EWEMs'!$AB52:$AC52,MATCH("Fuel Oil #6",'Input-EWEMs'!$AB$10:$AC$10,0)),0))</f>
        <v/>
      </c>
      <c r="AH2" s="2" t="str">
        <f>IF('Input-EWEMs'!$D52="", "",IFERROR(INDEX('Input-EWEMs'!$AB52:$AC52,MATCH("District Steam",'Input-EWEMs'!$AB$10:$AC$10,0)),0))</f>
        <v/>
      </c>
      <c r="AI2" s="2" t="str">
        <f>IF('Input-EWEMs'!$D52="", "",IFERROR(INDEX('Input-EWEMs'!$AB52:$AC52,MATCH("Propane",'Input-EWEMs'!$AB$10:$AC$10,0)),0))</f>
        <v/>
      </c>
      <c r="AJ2" s="2" t="str">
        <f>IF('Input-EWEMs'!$D52="", "",IFERROR(INDEX('Input-EWEMs'!$AB52:$AC52,MATCH("District Hot Water",'Input-EWEMs'!$AB$10:$AC$10,0)),0))</f>
        <v/>
      </c>
      <c r="AK2" s="2" t="str">
        <f>IF('Input-EWEMs'!$D52="", "",IFERROR(INDEX('Input-EWEMs'!$AB52:$AC52,MATCH("District Chilled Water",'Input-EWEMs'!$AB$10:$AC$10,0)),0))</f>
        <v/>
      </c>
      <c r="AL2" s="2" t="str">
        <f>IF('Input-EWEMs'!$D52="", "",IFERROR(INDEX('Input-EWEMs'!$AB52:$AC52,MATCH("Other",'Input-EWEMs'!$AB$10:$AC$10,0)),0))</f>
        <v/>
      </c>
      <c r="AM2" s="2" t="str">
        <f>IF('Input-EWEMs'!$D52="", "",SUM(S2:AB2))</f>
        <v/>
      </c>
      <c r="AN2" s="2" t="str">
        <f>IF('Input-EWEMs'!$D52="", "",SUM(AC2:AL2))</f>
        <v/>
      </c>
      <c r="AO2" s="2" t="str">
        <f>IF('Input-EWEMs'!$D52="", "",'Input-EWEMs'!AF52)</f>
        <v/>
      </c>
      <c r="AP2" s="2" t="str">
        <f>IF('Input-EWEMs'!$D52="", "",'Input-EWEMs'!AH52)</f>
        <v/>
      </c>
      <c r="AQ2" s="2" t="str">
        <f>IF('Input-EWEMs'!$D52="", "",IFERROR(AN2/SUM('DB-Utilities'!$M$2:$M$4),""))</f>
        <v/>
      </c>
      <c r="AR2" s="2" t="str">
        <f>IF('Input-EWEMs'!$D52="", "",'Input-EWEMs'!AJ52)</f>
        <v/>
      </c>
      <c r="AS2" s="2" t="str">
        <f>IF('Input-EWEMs'!$D52="", "",'Input-EWEMs'!AK52)</f>
        <v/>
      </c>
      <c r="AT2" s="2" t="str">
        <f t="shared" ref="AT2:AT11" si="0">IFERROR(L2*AS2,"")</f>
        <v/>
      </c>
      <c r="AU2" s="2" t="str">
        <f>IF('Input-EWEMs'!$D52="", "",IFERROR('Input-EWEMs'!T52*INDEX(Assumptions!$H$6:$H$17,MATCH('Input-EWEMs'!T$11,Assumptions!$C$6:$C$17,0)),0)+IFERROR('Input-EWEMs'!U52*INDEX(Assumptions!$H$6:$H$17,MATCH('Input-EWEMs'!U$11,Assumptions!$C$6:$C$17,0)),0)+IFERROR('Input-EWEMs'!V52*INDEX(Assumptions!$H$6:$H$17,MATCH('Input-EWEMs'!V$11,Assumptions!$C$6:$C$17,0)),0))</f>
        <v/>
      </c>
      <c r="AV2" s="2" t="str">
        <f>IF('Input-EWEMs'!$D52="", "",ROUND('Input-EWEMs'!K52,0))</f>
        <v/>
      </c>
      <c r="AW2" s="2" t="str">
        <f>IF('Input-EWEMs'!$D52="", "",ROUND('Input-EWEMs'!L52,0))</f>
        <v/>
      </c>
    </row>
    <row r="3" spans="1:49" x14ac:dyDescent="0.2">
      <c r="A3" s="2"/>
      <c r="B3" s="2" t="str">
        <f>IF('Input-EWEMs'!$D53="", "",INDEX('Lender Validation'!$B$44:$B$73, MATCH($C3, 'Lender Validation'!$C$44:$C$73, 0)))</f>
        <v/>
      </c>
      <c r="C3" s="2" t="str">
        <f>IF('Input-EWEMs'!$D53="", "", 'Input-EWEMs'!C53)</f>
        <v/>
      </c>
      <c r="D3" s="2" t="str">
        <f>IF('Input-EWEMs'!$D53="", "", 'Input-EWEMs'!D53)</f>
        <v/>
      </c>
      <c r="E3" s="2" t="str">
        <f>IF('Input-EWEMs'!$D53="", "", IFERROR(INDEX('Reference-MeasureList'!$Q$7:$Q$10,MATCH('Input-EWEMs'!E13,'Reference-MeasureList'!$P$7:$P$10,0)),'Input-EWEMs'!E53))</f>
        <v/>
      </c>
      <c r="F3" s="2" t="str">
        <f>IF('Input-EWEMs'!$D53="", "", 'Input-EWEMs'!F53)</f>
        <v/>
      </c>
      <c r="G3" s="2" t="str">
        <f>IF('Input-EWEMs'!$D53="", "", 'Input-EWEMs'!G53)</f>
        <v/>
      </c>
      <c r="H3" s="2" t="str">
        <f>IF('Input-EWEMs'!$H53="", "", 'Input-EWEMs'!H53)</f>
        <v/>
      </c>
      <c r="I3" s="2" t="str">
        <f>IF('Input-EWEMs'!$I53="", "", 'Input-EWEMs'!I53)</f>
        <v/>
      </c>
      <c r="J3" s="2" t="str">
        <f>IF('Input-EWEMs'!$I53="", "", I3/'DB-Properties'!$K$2)</f>
        <v/>
      </c>
      <c r="K3" s="2" t="str">
        <f>IF('Input-EWEMs'!$D53="", "",ROUND('Input-EWEMs'!M53,0))</f>
        <v/>
      </c>
      <c r="L3" s="2" t="str">
        <f>IF('Input-EWEMs'!$D53="", "",SUM(O3,R3))</f>
        <v/>
      </c>
      <c r="M3" s="2" t="str">
        <f>IF('Input-EWEMs'!$D53="", "",ROUND('Input-EWEMs'!N53,0))</f>
        <v/>
      </c>
      <c r="N3" s="2" t="str">
        <f>IF('Input-EWEMs'!$D53="", "",ROUND('Input-EWEMs'!O53,0))</f>
        <v/>
      </c>
      <c r="O3" s="2" t="str">
        <f>IF('Input-EWEMs'!$D53="", "",ROUND('Input-EWEMs'!P53,0))</f>
        <v/>
      </c>
      <c r="P3" s="2" t="str">
        <f>IF('Input-EWEMs'!$D53="", "",ROUND('Input-EWEMs'!Q53,0))</f>
        <v/>
      </c>
      <c r="Q3" s="2" t="str">
        <f>IF('Input-EWEMs'!$D53="", "",ROUND('Input-EWEMs'!R53,0))</f>
        <v/>
      </c>
      <c r="R3" s="2" t="str">
        <f>IF('Input-EWEMs'!$D53="", "",ROUND('Input-EWEMs'!S53,0))</f>
        <v/>
      </c>
      <c r="S3" s="2" t="str">
        <f>IF('Input-EWEMs'!$D53="", "",'Input-EWEMs'!X53)</f>
        <v/>
      </c>
      <c r="T3" s="2" t="str">
        <f>IF('Input-EWEMs'!$D53="", "",IFERROR(INDEX('Input-EWEMs'!$Y53:$Z53,MATCH("Natural Gas",'Input-EWEMs'!$Y$10:$Z$10,0)),0))</f>
        <v/>
      </c>
      <c r="U3" s="2" t="str">
        <f>IF('Input-EWEMs'!$D53="", "",IFERROR(INDEX('Input-EWEMs'!$Y53:$Z53,MATCH("Fuel Oil #2",'Input-EWEMs'!$Y$10:$Z$10,0)),0))</f>
        <v/>
      </c>
      <c r="V3" s="2" t="str">
        <f>IF('Input-EWEMs'!$D53="", "",IFERROR(INDEX('Input-EWEMs'!$Y53:$Z53,MATCH("Fuel Oil #4",'Input-EWEMs'!$Y$10:$Z$10,0)),0))</f>
        <v/>
      </c>
      <c r="W3" s="2" t="str">
        <f>IF('Input-EWEMs'!$D53="", "",IFERROR(INDEX('Input-EWEMs'!$Y53:$Z53,MATCH("Fuel Oil #6",'Input-EWEMs'!$Y$10:$Z$10,0)),0))</f>
        <v/>
      </c>
      <c r="X3" s="2" t="str">
        <f>IF('Input-EWEMs'!$D53="", "",IFERROR(INDEX('Input-EWEMs'!$Y53:$Z53,MATCH("District Steam",'Input-EWEMs'!$Y$10:$Z$10,0)),0))</f>
        <v/>
      </c>
      <c r="Y3" s="2" t="str">
        <f>IF('Input-EWEMs'!$D53="", "",IFERROR(INDEX('Input-EWEMs'!$Y53:$Z53,MATCH("Propane",'Input-EWEMs'!$Y$10:$Z$10,0)),0))</f>
        <v/>
      </c>
      <c r="Z3" s="2" t="str">
        <f>IF('Input-EWEMs'!$D53="", "",IFERROR(INDEX('Input-EWEMs'!$Y53:$Z53,MATCH("District Hot Water",'Input-EWEMs'!$Y$10:$Z$10,0)),0))</f>
        <v/>
      </c>
      <c r="AA3" s="2" t="str">
        <f>IF('Input-EWEMs'!$D53="", "",IFERROR(INDEX('Input-EWEMs'!$Y53:$Z53,MATCH("District Chilled Water",'Input-EWEMs'!$Y$10:$Z$10,0)),0))</f>
        <v/>
      </c>
      <c r="AB3" s="2" t="str">
        <f>IF('Input-EWEMs'!$D53="", "",IFERROR(INDEX('Input-EWEMs'!$Y53:$Z53,MATCH("Other",'Input-EWEMs'!$Y$10:$Z$10,0)),0))</f>
        <v/>
      </c>
      <c r="AC3" s="2" t="str">
        <f>IF('Input-EWEMs'!$D53="", "",'Input-EWEMs'!AA53)</f>
        <v/>
      </c>
      <c r="AD3" s="2" t="str">
        <f>IF('Input-EWEMs'!$D53="", "",IFERROR(INDEX('Input-EWEMs'!$AB53:$AC53,MATCH("Natural Gas",'Input-EWEMs'!$AB$10:$AC$10,0)),0))</f>
        <v/>
      </c>
      <c r="AE3" s="2" t="str">
        <f>IF('Input-EWEMs'!$D53="", "",IFERROR(INDEX('Input-EWEMs'!$AB53:$AC53,MATCH("Fuel Oil #2",'Input-EWEMs'!$AB$10:$AC$10,0)),0))</f>
        <v/>
      </c>
      <c r="AF3" s="2" t="str">
        <f>IF('Input-EWEMs'!$D53="", "",IFERROR(INDEX('Input-EWEMs'!$AB53:$AC53,MATCH("Fuel Oil #4",'Input-EWEMs'!$AB$10:$AC$10,0)),0))</f>
        <v/>
      </c>
      <c r="AG3" s="2" t="str">
        <f>IF('Input-EWEMs'!$D53="", "",IFERROR(INDEX('Input-EWEMs'!$AB53:$AC53,MATCH("Fuel Oil #6",'Input-EWEMs'!$AB$10:$AC$10,0)),0))</f>
        <v/>
      </c>
      <c r="AH3" s="2" t="str">
        <f>IF('Input-EWEMs'!$D53="", "",IFERROR(INDEX('Input-EWEMs'!$AB53:$AC53,MATCH("District Steam",'Input-EWEMs'!$AB$10:$AC$10,0)),0))</f>
        <v/>
      </c>
      <c r="AI3" s="2" t="str">
        <f>IF('Input-EWEMs'!$D53="", "",IFERROR(INDEX('Input-EWEMs'!$AB53:$AC53,MATCH("Propane",'Input-EWEMs'!$AB$10:$AC$10,0)),0))</f>
        <v/>
      </c>
      <c r="AJ3" s="2" t="str">
        <f>IF('Input-EWEMs'!$D53="", "",IFERROR(INDEX('Input-EWEMs'!$AB53:$AC53,MATCH("District Hot Water",'Input-EWEMs'!$AB$10:$AC$10,0)),0))</f>
        <v/>
      </c>
      <c r="AK3" s="2" t="str">
        <f>IF('Input-EWEMs'!$D53="", "",IFERROR(INDEX('Input-EWEMs'!$AB53:$AC53,MATCH("District Chilled Water",'Input-EWEMs'!$AB$10:$AC$10,0)),0))</f>
        <v/>
      </c>
      <c r="AL3" s="2" t="str">
        <f>IF('Input-EWEMs'!$D53="", "",IFERROR(INDEX('Input-EWEMs'!$AB53:$AC53,MATCH("Other",'Input-EWEMs'!$AB$10:$AC$10,0)),0))</f>
        <v/>
      </c>
      <c r="AM3" s="2" t="str">
        <f>IF('Input-EWEMs'!$D53="", "",SUM(S3:AB3))</f>
        <v/>
      </c>
      <c r="AN3" s="2" t="str">
        <f>IF('Input-EWEMs'!$D53="", "",SUM(AC3:AL3))</f>
        <v/>
      </c>
      <c r="AO3" s="2" t="str">
        <f>IF('Input-EWEMs'!$D53="", "",'Input-EWEMs'!AF53)</f>
        <v/>
      </c>
      <c r="AP3" s="2" t="str">
        <f>IF('Input-EWEMs'!$D53="", "",'Input-EWEMs'!AH53)</f>
        <v/>
      </c>
      <c r="AQ3" s="2" t="str">
        <f>IF('Input-EWEMs'!$D53="", "",IFERROR(AN3/SUM('DB-Utilities'!$M$2:$M$4),""))</f>
        <v/>
      </c>
      <c r="AR3" s="2" t="str">
        <f>IF('Input-EWEMs'!$D53="", "",'Input-EWEMs'!AJ53)</f>
        <v/>
      </c>
      <c r="AS3" s="2" t="str">
        <f>IF('Input-EWEMs'!$D53="", "",'Input-EWEMs'!AK53)</f>
        <v/>
      </c>
      <c r="AT3" s="2" t="str">
        <f t="shared" si="0"/>
        <v/>
      </c>
      <c r="AU3" s="2" t="str">
        <f>IF('Input-EWEMs'!$D53="", "",IFERROR('Input-EWEMs'!T53*INDEX(Assumptions!$H$6:$H$17,MATCH('Input-EWEMs'!T$11,Assumptions!$C$6:$C$17,0)),0)+IFERROR('Input-EWEMs'!U53*INDEX(Assumptions!$H$6:$H$17,MATCH('Input-EWEMs'!U$11,Assumptions!$C$6:$C$17,0)),0)+IFERROR('Input-EWEMs'!V53*INDEX(Assumptions!$H$6:$H$17,MATCH('Input-EWEMs'!V$11,Assumptions!$C$6:$C$17,0)),0))</f>
        <v/>
      </c>
      <c r="AV3" s="2" t="str">
        <f>IF('Input-EWEMs'!$D53="", "",ROUND('Input-EWEMs'!K53,0))</f>
        <v/>
      </c>
      <c r="AW3" s="2" t="str">
        <f>IF('Input-EWEMs'!$D53="", "",ROUND('Input-EWEMs'!L53,0))</f>
        <v/>
      </c>
    </row>
    <row r="4" spans="1:49" x14ac:dyDescent="0.2">
      <c r="A4" s="2"/>
      <c r="B4" s="2" t="str">
        <f>IF('Input-EWEMs'!$D54="", "",INDEX('Lender Validation'!$B$44:$B$73, MATCH($C4, 'Lender Validation'!$C$44:$C$73, 0)))</f>
        <v/>
      </c>
      <c r="C4" s="2" t="str">
        <f>IF('Input-EWEMs'!$D54="", "", 'Input-EWEMs'!C54)</f>
        <v/>
      </c>
      <c r="D4" s="2" t="str">
        <f>IF('Input-EWEMs'!$D54="", "", 'Input-EWEMs'!D54)</f>
        <v/>
      </c>
      <c r="E4" s="2" t="str">
        <f>IF('Input-EWEMs'!$D54="", "", IFERROR(INDEX('Reference-MeasureList'!$Q$7:$Q$10,MATCH('Input-EWEMs'!E14,'Reference-MeasureList'!$P$7:$P$10,0)),'Input-EWEMs'!E54))</f>
        <v/>
      </c>
      <c r="F4" s="2" t="str">
        <f>IF('Input-EWEMs'!$D54="", "", 'Input-EWEMs'!F54)</f>
        <v/>
      </c>
      <c r="G4" s="2" t="str">
        <f>IF('Input-EWEMs'!$D54="", "", 'Input-EWEMs'!G54)</f>
        <v/>
      </c>
      <c r="H4" s="2" t="str">
        <f>IF('Input-EWEMs'!$H54="", "", 'Input-EWEMs'!H54)</f>
        <v/>
      </c>
      <c r="I4" s="2" t="str">
        <f>IF('Input-EWEMs'!$I54="", "", 'Input-EWEMs'!I54)</f>
        <v/>
      </c>
      <c r="J4" s="2" t="str">
        <f>IF('Input-EWEMs'!$I54="", "", I4/'DB-Properties'!$K$2)</f>
        <v/>
      </c>
      <c r="K4" s="2" t="str">
        <f>IF('Input-EWEMs'!$D54="", "",ROUND('Input-EWEMs'!M54,0))</f>
        <v/>
      </c>
      <c r="L4" s="2" t="str">
        <f>IF('Input-EWEMs'!$D54="", "",SUM(O4,R4))</f>
        <v/>
      </c>
      <c r="M4" s="2" t="str">
        <f>IF('Input-EWEMs'!$D54="", "",ROUND('Input-EWEMs'!N54,0))</f>
        <v/>
      </c>
      <c r="N4" s="2" t="str">
        <f>IF('Input-EWEMs'!$D54="", "",ROUND('Input-EWEMs'!O54,0))</f>
        <v/>
      </c>
      <c r="O4" s="2" t="str">
        <f>IF('Input-EWEMs'!$D54="", "",ROUND('Input-EWEMs'!P54,0))</f>
        <v/>
      </c>
      <c r="P4" s="2" t="str">
        <f>IF('Input-EWEMs'!$D54="", "",ROUND('Input-EWEMs'!Q54,0))</f>
        <v/>
      </c>
      <c r="Q4" s="2" t="str">
        <f>IF('Input-EWEMs'!$D54="", "",ROUND('Input-EWEMs'!R54,0))</f>
        <v/>
      </c>
      <c r="R4" s="2" t="str">
        <f>IF('Input-EWEMs'!$D54="", "",ROUND('Input-EWEMs'!S54,0))</f>
        <v/>
      </c>
      <c r="S4" s="2" t="str">
        <f>IF('Input-EWEMs'!$D54="", "",'Input-EWEMs'!X54)</f>
        <v/>
      </c>
      <c r="T4" s="2" t="str">
        <f>IF('Input-EWEMs'!$D54="", "",IFERROR(INDEX('Input-EWEMs'!$Y54:$Z54,MATCH("Natural Gas",'Input-EWEMs'!$Y$10:$Z$10,0)),0))</f>
        <v/>
      </c>
      <c r="U4" s="2" t="str">
        <f>IF('Input-EWEMs'!$D54="", "",IFERROR(INDEX('Input-EWEMs'!$Y54:$Z54,MATCH("Fuel Oil #2",'Input-EWEMs'!$Y$10:$Z$10,0)),0))</f>
        <v/>
      </c>
      <c r="V4" s="2" t="str">
        <f>IF('Input-EWEMs'!$D54="", "",IFERROR(INDEX('Input-EWEMs'!$Y54:$Z54,MATCH("Fuel Oil #4",'Input-EWEMs'!$Y$10:$Z$10,0)),0))</f>
        <v/>
      </c>
      <c r="W4" s="2" t="str">
        <f>IF('Input-EWEMs'!$D54="", "",IFERROR(INDEX('Input-EWEMs'!$Y54:$Z54,MATCH("Fuel Oil #6",'Input-EWEMs'!$Y$10:$Z$10,0)),0))</f>
        <v/>
      </c>
      <c r="X4" s="2" t="str">
        <f>IF('Input-EWEMs'!$D54="", "",IFERROR(INDEX('Input-EWEMs'!$Y54:$Z54,MATCH("District Steam",'Input-EWEMs'!$Y$10:$Z$10,0)),0))</f>
        <v/>
      </c>
      <c r="Y4" s="2" t="str">
        <f>IF('Input-EWEMs'!$D54="", "",IFERROR(INDEX('Input-EWEMs'!$Y54:$Z54,MATCH("Propane",'Input-EWEMs'!$Y$10:$Z$10,0)),0))</f>
        <v/>
      </c>
      <c r="Z4" s="2" t="str">
        <f>IF('Input-EWEMs'!$D54="", "",IFERROR(INDEX('Input-EWEMs'!$Y54:$Z54,MATCH("District Hot Water",'Input-EWEMs'!$Y$10:$Z$10,0)),0))</f>
        <v/>
      </c>
      <c r="AA4" s="2" t="str">
        <f>IF('Input-EWEMs'!$D54="", "",IFERROR(INDEX('Input-EWEMs'!$Y54:$Z54,MATCH("District Chilled Water",'Input-EWEMs'!$Y$10:$Z$10,0)),0))</f>
        <v/>
      </c>
      <c r="AB4" s="2" t="str">
        <f>IF('Input-EWEMs'!$D54="", "",IFERROR(INDEX('Input-EWEMs'!$Y54:$Z54,MATCH("Other",'Input-EWEMs'!$Y$10:$Z$10,0)),0))</f>
        <v/>
      </c>
      <c r="AC4" s="2" t="str">
        <f>IF('Input-EWEMs'!$D54="", "",'Input-EWEMs'!AA54)</f>
        <v/>
      </c>
      <c r="AD4" s="2" t="str">
        <f>IF('Input-EWEMs'!$D54="", "",IFERROR(INDEX('Input-EWEMs'!$AB54:$AC54,MATCH("Natural Gas",'Input-EWEMs'!$AB$10:$AC$10,0)),0))</f>
        <v/>
      </c>
      <c r="AE4" s="2" t="str">
        <f>IF('Input-EWEMs'!$D54="", "",IFERROR(INDEX('Input-EWEMs'!$AB54:$AC54,MATCH("Fuel Oil #2",'Input-EWEMs'!$AB$10:$AC$10,0)),0))</f>
        <v/>
      </c>
      <c r="AF4" s="2" t="str">
        <f>IF('Input-EWEMs'!$D54="", "",IFERROR(INDEX('Input-EWEMs'!$AB54:$AC54,MATCH("Fuel Oil #4",'Input-EWEMs'!$AB$10:$AC$10,0)),0))</f>
        <v/>
      </c>
      <c r="AG4" s="2" t="str">
        <f>IF('Input-EWEMs'!$D54="", "",IFERROR(INDEX('Input-EWEMs'!$AB54:$AC54,MATCH("Fuel Oil #6",'Input-EWEMs'!$AB$10:$AC$10,0)),0))</f>
        <v/>
      </c>
      <c r="AH4" s="2" t="str">
        <f>IF('Input-EWEMs'!$D54="", "",IFERROR(INDEX('Input-EWEMs'!$AB54:$AC54,MATCH("District Steam",'Input-EWEMs'!$AB$10:$AC$10,0)),0))</f>
        <v/>
      </c>
      <c r="AI4" s="2" t="str">
        <f>IF('Input-EWEMs'!$D54="", "",IFERROR(INDEX('Input-EWEMs'!$AB54:$AC54,MATCH("Propane",'Input-EWEMs'!$AB$10:$AC$10,0)),0))</f>
        <v/>
      </c>
      <c r="AJ4" s="2" t="str">
        <f>IF('Input-EWEMs'!$D54="", "",IFERROR(INDEX('Input-EWEMs'!$AB54:$AC54,MATCH("District Hot Water",'Input-EWEMs'!$AB$10:$AC$10,0)),0))</f>
        <v/>
      </c>
      <c r="AK4" s="2" t="str">
        <f>IF('Input-EWEMs'!$D54="", "",IFERROR(INDEX('Input-EWEMs'!$AB54:$AC54,MATCH("District Chilled Water",'Input-EWEMs'!$AB$10:$AC$10,0)),0))</f>
        <v/>
      </c>
      <c r="AL4" s="2" t="str">
        <f>IF('Input-EWEMs'!$D54="", "",IFERROR(INDEX('Input-EWEMs'!$AB54:$AC54,MATCH("Other",'Input-EWEMs'!$AB$10:$AC$10,0)),0))</f>
        <v/>
      </c>
      <c r="AM4" s="2" t="str">
        <f>IF('Input-EWEMs'!$D54="", "",SUM(S4:AB4))</f>
        <v/>
      </c>
      <c r="AN4" s="2" t="str">
        <f>IF('Input-EWEMs'!$D54="", "",SUM(AC4:AL4))</f>
        <v/>
      </c>
      <c r="AO4" s="2" t="str">
        <f>IF('Input-EWEMs'!$D54="", "",'Input-EWEMs'!AF54)</f>
        <v/>
      </c>
      <c r="AP4" s="2" t="str">
        <f>IF('Input-EWEMs'!$D54="", "",'Input-EWEMs'!AH54)</f>
        <v/>
      </c>
      <c r="AQ4" s="2" t="str">
        <f>IF('Input-EWEMs'!$D54="", "",IFERROR(AN4/SUM('DB-Utilities'!$M$2:$M$4),""))</f>
        <v/>
      </c>
      <c r="AR4" s="2" t="str">
        <f>IF('Input-EWEMs'!$D54="", "",'Input-EWEMs'!AJ54)</f>
        <v/>
      </c>
      <c r="AS4" s="2" t="str">
        <f>IF('Input-EWEMs'!$D54="", "",'Input-EWEMs'!AK54)</f>
        <v/>
      </c>
      <c r="AT4" s="2" t="str">
        <f t="shared" si="0"/>
        <v/>
      </c>
      <c r="AU4" s="2" t="str">
        <f>IF('Input-EWEMs'!$D54="", "",IFERROR('Input-EWEMs'!T54*INDEX(Assumptions!$H$6:$H$17,MATCH('Input-EWEMs'!T$11,Assumptions!$C$6:$C$17,0)),0)+IFERROR('Input-EWEMs'!U54*INDEX(Assumptions!$H$6:$H$17,MATCH('Input-EWEMs'!U$11,Assumptions!$C$6:$C$17,0)),0)+IFERROR('Input-EWEMs'!V54*INDEX(Assumptions!$H$6:$H$17,MATCH('Input-EWEMs'!V$11,Assumptions!$C$6:$C$17,0)),0))</f>
        <v/>
      </c>
      <c r="AV4" s="2" t="str">
        <f>IF('Input-EWEMs'!$D54="", "",ROUND('Input-EWEMs'!K54,0))</f>
        <v/>
      </c>
      <c r="AW4" s="2" t="str">
        <f>IF('Input-EWEMs'!$D54="", "",ROUND('Input-EWEMs'!L54,0))</f>
        <v/>
      </c>
    </row>
    <row r="5" spans="1:49" x14ac:dyDescent="0.2">
      <c r="A5" s="2"/>
      <c r="B5" s="2" t="str">
        <f>IF('Input-EWEMs'!$D55="", "",INDEX('Lender Validation'!$B$44:$B$73, MATCH($C5, 'Lender Validation'!$C$44:$C$73, 0)))</f>
        <v/>
      </c>
      <c r="C5" s="2" t="str">
        <f>IF('Input-EWEMs'!$D55="", "", 'Input-EWEMs'!C55)</f>
        <v/>
      </c>
      <c r="D5" s="2" t="str">
        <f>IF('Input-EWEMs'!$D55="", "", 'Input-EWEMs'!D55)</f>
        <v/>
      </c>
      <c r="E5" s="2" t="str">
        <f>IF('Input-EWEMs'!$D55="", "", IFERROR(INDEX('Reference-MeasureList'!$Q$7:$Q$10,MATCH('Input-EWEMs'!E15,'Reference-MeasureList'!$P$7:$P$10,0)),'Input-EWEMs'!E55))</f>
        <v/>
      </c>
      <c r="F5" s="2" t="str">
        <f>IF('Input-EWEMs'!$D55="", "", 'Input-EWEMs'!F55)</f>
        <v/>
      </c>
      <c r="G5" s="2" t="str">
        <f>IF('Input-EWEMs'!$D55="", "", 'Input-EWEMs'!G55)</f>
        <v/>
      </c>
      <c r="H5" s="2" t="str">
        <f>IF('Input-EWEMs'!$H55="", "", 'Input-EWEMs'!H55)</f>
        <v/>
      </c>
      <c r="I5" s="2" t="str">
        <f>IF('Input-EWEMs'!$I55="", "", 'Input-EWEMs'!I55)</f>
        <v/>
      </c>
      <c r="J5" s="2" t="str">
        <f>IF('Input-EWEMs'!$I55="", "", I5/'DB-Properties'!$K$2)</f>
        <v/>
      </c>
      <c r="K5" s="2" t="str">
        <f>IF('Input-EWEMs'!$D55="", "",ROUND('Input-EWEMs'!M55,0))</f>
        <v/>
      </c>
      <c r="L5" s="2" t="str">
        <f>IF('Input-EWEMs'!$D55="", "",SUM(O5,R5))</f>
        <v/>
      </c>
      <c r="M5" s="2" t="str">
        <f>IF('Input-EWEMs'!$D55="", "",ROUND('Input-EWEMs'!N55,0))</f>
        <v/>
      </c>
      <c r="N5" s="2" t="str">
        <f>IF('Input-EWEMs'!$D55="", "",ROUND('Input-EWEMs'!O55,0))</f>
        <v/>
      </c>
      <c r="O5" s="2" t="str">
        <f>IF('Input-EWEMs'!$D55="", "",ROUND('Input-EWEMs'!P55,0))</f>
        <v/>
      </c>
      <c r="P5" s="2" t="str">
        <f>IF('Input-EWEMs'!$D55="", "",ROUND('Input-EWEMs'!Q55,0))</f>
        <v/>
      </c>
      <c r="Q5" s="2" t="str">
        <f>IF('Input-EWEMs'!$D55="", "",ROUND('Input-EWEMs'!R55,0))</f>
        <v/>
      </c>
      <c r="R5" s="2" t="str">
        <f>IF('Input-EWEMs'!$D55="", "",ROUND('Input-EWEMs'!S55,0))</f>
        <v/>
      </c>
      <c r="S5" s="2" t="str">
        <f>IF('Input-EWEMs'!$D55="", "",'Input-EWEMs'!X55)</f>
        <v/>
      </c>
      <c r="T5" s="2" t="str">
        <f>IF('Input-EWEMs'!$D55="", "",IFERROR(INDEX('Input-EWEMs'!$Y55:$Z55,MATCH("Natural Gas",'Input-EWEMs'!$Y$10:$Z$10,0)),0))</f>
        <v/>
      </c>
      <c r="U5" s="2" t="str">
        <f>IF('Input-EWEMs'!$D55="", "",IFERROR(INDEX('Input-EWEMs'!$Y55:$Z55,MATCH("Fuel Oil #2",'Input-EWEMs'!$Y$10:$Z$10,0)),0))</f>
        <v/>
      </c>
      <c r="V5" s="2" t="str">
        <f>IF('Input-EWEMs'!$D55="", "",IFERROR(INDEX('Input-EWEMs'!$Y55:$Z55,MATCH("Fuel Oil #4",'Input-EWEMs'!$Y$10:$Z$10,0)),0))</f>
        <v/>
      </c>
      <c r="W5" s="2" t="str">
        <f>IF('Input-EWEMs'!$D55="", "",IFERROR(INDEX('Input-EWEMs'!$Y55:$Z55,MATCH("Fuel Oil #6",'Input-EWEMs'!$Y$10:$Z$10,0)),0))</f>
        <v/>
      </c>
      <c r="X5" s="2" t="str">
        <f>IF('Input-EWEMs'!$D55="", "",IFERROR(INDEX('Input-EWEMs'!$Y55:$Z55,MATCH("District Steam",'Input-EWEMs'!$Y$10:$Z$10,0)),0))</f>
        <v/>
      </c>
      <c r="Y5" s="2" t="str">
        <f>IF('Input-EWEMs'!$D55="", "",IFERROR(INDEX('Input-EWEMs'!$Y55:$Z55,MATCH("Propane",'Input-EWEMs'!$Y$10:$Z$10,0)),0))</f>
        <v/>
      </c>
      <c r="Z5" s="2" t="str">
        <f>IF('Input-EWEMs'!$D55="", "",IFERROR(INDEX('Input-EWEMs'!$Y55:$Z55,MATCH("District Hot Water",'Input-EWEMs'!$Y$10:$Z$10,0)),0))</f>
        <v/>
      </c>
      <c r="AA5" s="2" t="str">
        <f>IF('Input-EWEMs'!$D55="", "",IFERROR(INDEX('Input-EWEMs'!$Y55:$Z55,MATCH("District Chilled Water",'Input-EWEMs'!$Y$10:$Z$10,0)),0))</f>
        <v/>
      </c>
      <c r="AB5" s="2" t="str">
        <f>IF('Input-EWEMs'!$D55="", "",IFERROR(INDEX('Input-EWEMs'!$Y55:$Z55,MATCH("Other",'Input-EWEMs'!$Y$10:$Z$10,0)),0))</f>
        <v/>
      </c>
      <c r="AC5" s="2" t="str">
        <f>IF('Input-EWEMs'!$D55="", "",'Input-EWEMs'!AA55)</f>
        <v/>
      </c>
      <c r="AD5" s="2" t="str">
        <f>IF('Input-EWEMs'!$D55="", "",IFERROR(INDEX('Input-EWEMs'!$AB55:$AC55,MATCH("Natural Gas",'Input-EWEMs'!$AB$10:$AC$10,0)),0))</f>
        <v/>
      </c>
      <c r="AE5" s="2" t="str">
        <f>IF('Input-EWEMs'!$D55="", "",IFERROR(INDEX('Input-EWEMs'!$AB55:$AC55,MATCH("Fuel Oil #2",'Input-EWEMs'!$AB$10:$AC$10,0)),0))</f>
        <v/>
      </c>
      <c r="AF5" s="2" t="str">
        <f>IF('Input-EWEMs'!$D55="", "",IFERROR(INDEX('Input-EWEMs'!$AB55:$AC55,MATCH("Fuel Oil #4",'Input-EWEMs'!$AB$10:$AC$10,0)),0))</f>
        <v/>
      </c>
      <c r="AG5" s="2" t="str">
        <f>IF('Input-EWEMs'!$D55="", "",IFERROR(INDEX('Input-EWEMs'!$AB55:$AC55,MATCH("Fuel Oil #6",'Input-EWEMs'!$AB$10:$AC$10,0)),0))</f>
        <v/>
      </c>
      <c r="AH5" s="2" t="str">
        <f>IF('Input-EWEMs'!$D55="", "",IFERROR(INDEX('Input-EWEMs'!$AB55:$AC55,MATCH("District Steam",'Input-EWEMs'!$AB$10:$AC$10,0)),0))</f>
        <v/>
      </c>
      <c r="AI5" s="2" t="str">
        <f>IF('Input-EWEMs'!$D55="", "",IFERROR(INDEX('Input-EWEMs'!$AB55:$AC55,MATCH("Propane",'Input-EWEMs'!$AB$10:$AC$10,0)),0))</f>
        <v/>
      </c>
      <c r="AJ5" s="2" t="str">
        <f>IF('Input-EWEMs'!$D55="", "",IFERROR(INDEX('Input-EWEMs'!$AB55:$AC55,MATCH("District Hot Water",'Input-EWEMs'!$AB$10:$AC$10,0)),0))</f>
        <v/>
      </c>
      <c r="AK5" s="2" t="str">
        <f>IF('Input-EWEMs'!$D55="", "",IFERROR(INDEX('Input-EWEMs'!$AB55:$AC55,MATCH("District Chilled Water",'Input-EWEMs'!$AB$10:$AC$10,0)),0))</f>
        <v/>
      </c>
      <c r="AL5" s="2" t="str">
        <f>IF('Input-EWEMs'!$D55="", "",IFERROR(INDEX('Input-EWEMs'!$AB55:$AC55,MATCH("Other",'Input-EWEMs'!$AB$10:$AC$10,0)),0))</f>
        <v/>
      </c>
      <c r="AM5" s="2" t="str">
        <f>IF('Input-EWEMs'!$D55="", "",SUM(S5:AB5))</f>
        <v/>
      </c>
      <c r="AN5" s="2" t="str">
        <f>IF('Input-EWEMs'!$D55="", "",SUM(AC5:AL5))</f>
        <v/>
      </c>
      <c r="AO5" s="2" t="str">
        <f>IF('Input-EWEMs'!$D55="", "",'Input-EWEMs'!AF55)</f>
        <v/>
      </c>
      <c r="AP5" s="2" t="str">
        <f>IF('Input-EWEMs'!$D55="", "",'Input-EWEMs'!AH55)</f>
        <v/>
      </c>
      <c r="AQ5" s="2" t="str">
        <f>IF('Input-EWEMs'!$D55="", "",IFERROR(AN5/SUM('DB-Utilities'!$M$2:$M$4),""))</f>
        <v/>
      </c>
      <c r="AR5" s="2" t="str">
        <f>IF('Input-EWEMs'!$D55="", "",'Input-EWEMs'!AJ55)</f>
        <v/>
      </c>
      <c r="AS5" s="2" t="str">
        <f>IF('Input-EWEMs'!$D55="", "",'Input-EWEMs'!AK55)</f>
        <v/>
      </c>
      <c r="AT5" s="2" t="str">
        <f t="shared" si="0"/>
        <v/>
      </c>
      <c r="AU5" s="2" t="str">
        <f>IF('Input-EWEMs'!$D55="", "",IFERROR('Input-EWEMs'!T55*INDEX(Assumptions!$H$6:$H$17,MATCH('Input-EWEMs'!T$11,Assumptions!$C$6:$C$17,0)),0)+IFERROR('Input-EWEMs'!U55*INDEX(Assumptions!$H$6:$H$17,MATCH('Input-EWEMs'!U$11,Assumptions!$C$6:$C$17,0)),0)+IFERROR('Input-EWEMs'!V55*INDEX(Assumptions!$H$6:$H$17,MATCH('Input-EWEMs'!V$11,Assumptions!$C$6:$C$17,0)),0))</f>
        <v/>
      </c>
      <c r="AV5" s="2" t="str">
        <f>IF('Input-EWEMs'!$D55="", "",ROUND('Input-EWEMs'!K55,0))</f>
        <v/>
      </c>
      <c r="AW5" s="2" t="str">
        <f>IF('Input-EWEMs'!$D55="", "",ROUND('Input-EWEMs'!L55,0))</f>
        <v/>
      </c>
    </row>
    <row r="6" spans="1:49" x14ac:dyDescent="0.2">
      <c r="A6" s="2"/>
      <c r="B6" s="2" t="str">
        <f>IF('Input-EWEMs'!$D56="", "",INDEX('Lender Validation'!$B$44:$B$73, MATCH($C6, 'Lender Validation'!$C$44:$C$73, 0)))</f>
        <v/>
      </c>
      <c r="C6" s="2" t="str">
        <f>IF('Input-EWEMs'!$D56="", "", 'Input-EWEMs'!C56)</f>
        <v/>
      </c>
      <c r="D6" s="2" t="str">
        <f>IF('Input-EWEMs'!$D56="", "", 'Input-EWEMs'!D56)</f>
        <v/>
      </c>
      <c r="E6" s="2" t="str">
        <f>IF('Input-EWEMs'!$D56="", "", IFERROR(INDEX('Reference-MeasureList'!$Q$7:$Q$10,MATCH('Input-EWEMs'!E16,'Reference-MeasureList'!$P$7:$P$10,0)),'Input-EWEMs'!E56))</f>
        <v/>
      </c>
      <c r="F6" s="2" t="str">
        <f>IF('Input-EWEMs'!$D56="", "", 'Input-EWEMs'!F56)</f>
        <v/>
      </c>
      <c r="G6" s="2" t="str">
        <f>IF('Input-EWEMs'!$D56="", "", 'Input-EWEMs'!G56)</f>
        <v/>
      </c>
      <c r="H6" s="2" t="str">
        <f>IF('Input-EWEMs'!$H56="", "", 'Input-EWEMs'!H56)</f>
        <v/>
      </c>
      <c r="I6" s="2" t="str">
        <f>IF('Input-EWEMs'!$I56="", "", 'Input-EWEMs'!I56)</f>
        <v/>
      </c>
      <c r="J6" s="2" t="str">
        <f>IF('Input-EWEMs'!$I56="", "", I6/'DB-Properties'!$K$2)</f>
        <v/>
      </c>
      <c r="K6" s="2" t="str">
        <f>IF('Input-EWEMs'!$D56="", "",ROUND('Input-EWEMs'!M56,0))</f>
        <v/>
      </c>
      <c r="L6" s="2" t="str">
        <f>IF('Input-EWEMs'!$D56="", "",SUM(O6,R6))</f>
        <v/>
      </c>
      <c r="M6" s="2" t="str">
        <f>IF('Input-EWEMs'!$D56="", "",ROUND('Input-EWEMs'!N56,0))</f>
        <v/>
      </c>
      <c r="N6" s="2" t="str">
        <f>IF('Input-EWEMs'!$D56="", "",ROUND('Input-EWEMs'!O56,0))</f>
        <v/>
      </c>
      <c r="O6" s="2" t="str">
        <f>IF('Input-EWEMs'!$D56="", "",ROUND('Input-EWEMs'!P56,0))</f>
        <v/>
      </c>
      <c r="P6" s="2" t="str">
        <f>IF('Input-EWEMs'!$D56="", "",ROUND('Input-EWEMs'!Q56,0))</f>
        <v/>
      </c>
      <c r="Q6" s="2" t="str">
        <f>IF('Input-EWEMs'!$D56="", "",ROUND('Input-EWEMs'!R56,0))</f>
        <v/>
      </c>
      <c r="R6" s="2" t="str">
        <f>IF('Input-EWEMs'!$D56="", "",ROUND('Input-EWEMs'!S56,0))</f>
        <v/>
      </c>
      <c r="S6" s="2" t="str">
        <f>IF('Input-EWEMs'!$D56="", "",'Input-EWEMs'!X56)</f>
        <v/>
      </c>
      <c r="T6" s="2" t="str">
        <f>IF('Input-EWEMs'!$D56="", "",IFERROR(INDEX('Input-EWEMs'!$Y56:$Z56,MATCH("Natural Gas",'Input-EWEMs'!$Y$10:$Z$10,0)),0))</f>
        <v/>
      </c>
      <c r="U6" s="2" t="str">
        <f>IF('Input-EWEMs'!$D56="", "",IFERROR(INDEX('Input-EWEMs'!$Y56:$Z56,MATCH("Fuel Oil #2",'Input-EWEMs'!$Y$10:$Z$10,0)),0))</f>
        <v/>
      </c>
      <c r="V6" s="2" t="str">
        <f>IF('Input-EWEMs'!$D56="", "",IFERROR(INDEX('Input-EWEMs'!$Y56:$Z56,MATCH("Fuel Oil #4",'Input-EWEMs'!$Y$10:$Z$10,0)),0))</f>
        <v/>
      </c>
      <c r="W6" s="2" t="str">
        <f>IF('Input-EWEMs'!$D56="", "",IFERROR(INDEX('Input-EWEMs'!$Y56:$Z56,MATCH("Fuel Oil #6",'Input-EWEMs'!$Y$10:$Z$10,0)),0))</f>
        <v/>
      </c>
      <c r="X6" s="2" t="str">
        <f>IF('Input-EWEMs'!$D56="", "",IFERROR(INDEX('Input-EWEMs'!$Y56:$Z56,MATCH("District Steam",'Input-EWEMs'!$Y$10:$Z$10,0)),0))</f>
        <v/>
      </c>
      <c r="Y6" s="2" t="str">
        <f>IF('Input-EWEMs'!$D56="", "",IFERROR(INDEX('Input-EWEMs'!$Y56:$Z56,MATCH("Propane",'Input-EWEMs'!$Y$10:$Z$10,0)),0))</f>
        <v/>
      </c>
      <c r="Z6" s="2" t="str">
        <f>IF('Input-EWEMs'!$D56="", "",IFERROR(INDEX('Input-EWEMs'!$Y56:$Z56,MATCH("District Hot Water",'Input-EWEMs'!$Y$10:$Z$10,0)),0))</f>
        <v/>
      </c>
      <c r="AA6" s="2" t="str">
        <f>IF('Input-EWEMs'!$D56="", "",IFERROR(INDEX('Input-EWEMs'!$Y56:$Z56,MATCH("District Chilled Water",'Input-EWEMs'!$Y$10:$Z$10,0)),0))</f>
        <v/>
      </c>
      <c r="AB6" s="2" t="str">
        <f>IF('Input-EWEMs'!$D56="", "",IFERROR(INDEX('Input-EWEMs'!$Y56:$Z56,MATCH("Other",'Input-EWEMs'!$Y$10:$Z$10,0)),0))</f>
        <v/>
      </c>
      <c r="AC6" s="2" t="str">
        <f>IF('Input-EWEMs'!$D56="", "",'Input-EWEMs'!AA56)</f>
        <v/>
      </c>
      <c r="AD6" s="2" t="str">
        <f>IF('Input-EWEMs'!$D56="", "",IFERROR(INDEX('Input-EWEMs'!$AB56:$AC56,MATCH("Natural Gas",'Input-EWEMs'!$AB$10:$AC$10,0)),0))</f>
        <v/>
      </c>
      <c r="AE6" s="2" t="str">
        <f>IF('Input-EWEMs'!$D56="", "",IFERROR(INDEX('Input-EWEMs'!$AB56:$AC56,MATCH("Fuel Oil #2",'Input-EWEMs'!$AB$10:$AC$10,0)),0))</f>
        <v/>
      </c>
      <c r="AF6" s="2" t="str">
        <f>IF('Input-EWEMs'!$D56="", "",IFERROR(INDEX('Input-EWEMs'!$AB56:$AC56,MATCH("Fuel Oil #4",'Input-EWEMs'!$AB$10:$AC$10,0)),0))</f>
        <v/>
      </c>
      <c r="AG6" s="2" t="str">
        <f>IF('Input-EWEMs'!$D56="", "",IFERROR(INDEX('Input-EWEMs'!$AB56:$AC56,MATCH("Fuel Oil #6",'Input-EWEMs'!$AB$10:$AC$10,0)),0))</f>
        <v/>
      </c>
      <c r="AH6" s="2" t="str">
        <f>IF('Input-EWEMs'!$D56="", "",IFERROR(INDEX('Input-EWEMs'!$AB56:$AC56,MATCH("District Steam",'Input-EWEMs'!$AB$10:$AC$10,0)),0))</f>
        <v/>
      </c>
      <c r="AI6" s="2" t="str">
        <f>IF('Input-EWEMs'!$D56="", "",IFERROR(INDEX('Input-EWEMs'!$AB56:$AC56,MATCH("Propane",'Input-EWEMs'!$AB$10:$AC$10,0)),0))</f>
        <v/>
      </c>
      <c r="AJ6" s="2" t="str">
        <f>IF('Input-EWEMs'!$D56="", "",IFERROR(INDEX('Input-EWEMs'!$AB56:$AC56,MATCH("District Hot Water",'Input-EWEMs'!$AB$10:$AC$10,0)),0))</f>
        <v/>
      </c>
      <c r="AK6" s="2" t="str">
        <f>IF('Input-EWEMs'!$D56="", "",IFERROR(INDEX('Input-EWEMs'!$AB56:$AC56,MATCH("District Chilled Water",'Input-EWEMs'!$AB$10:$AC$10,0)),0))</f>
        <v/>
      </c>
      <c r="AL6" s="2" t="str">
        <f>IF('Input-EWEMs'!$D56="", "",IFERROR(INDEX('Input-EWEMs'!$AB56:$AC56,MATCH("Other",'Input-EWEMs'!$AB$10:$AC$10,0)),0))</f>
        <v/>
      </c>
      <c r="AM6" s="2" t="str">
        <f>IF('Input-EWEMs'!$D56="", "",SUM(S6:AB6))</f>
        <v/>
      </c>
      <c r="AN6" s="2" t="str">
        <f>IF('Input-EWEMs'!$D56="", "",SUM(AC6:AL6))</f>
        <v/>
      </c>
      <c r="AO6" s="2" t="str">
        <f>IF('Input-EWEMs'!$D56="", "",'Input-EWEMs'!AF56)</f>
        <v/>
      </c>
      <c r="AP6" s="2" t="str">
        <f>IF('Input-EWEMs'!$D56="", "",'Input-EWEMs'!AH56)</f>
        <v/>
      </c>
      <c r="AQ6" s="2" t="str">
        <f>IF('Input-EWEMs'!$D56="", "",IFERROR(AN6/SUM('DB-Utilities'!$M$2:$M$4),""))</f>
        <v/>
      </c>
      <c r="AR6" s="2" t="str">
        <f>IF('Input-EWEMs'!$D56="", "",'Input-EWEMs'!AJ56)</f>
        <v/>
      </c>
      <c r="AS6" s="2" t="str">
        <f>IF('Input-EWEMs'!$D56="", "",'Input-EWEMs'!AK56)</f>
        <v/>
      </c>
      <c r="AT6" s="2" t="str">
        <f t="shared" si="0"/>
        <v/>
      </c>
      <c r="AU6" s="2" t="str">
        <f>IF('Input-EWEMs'!$D56="", "",IFERROR('Input-EWEMs'!T56*INDEX(Assumptions!$H$6:$H$17,MATCH('Input-EWEMs'!T$11,Assumptions!$C$6:$C$17,0)),0)+IFERROR('Input-EWEMs'!U56*INDEX(Assumptions!$H$6:$H$17,MATCH('Input-EWEMs'!U$11,Assumptions!$C$6:$C$17,0)),0)+IFERROR('Input-EWEMs'!V56*INDEX(Assumptions!$H$6:$H$17,MATCH('Input-EWEMs'!V$11,Assumptions!$C$6:$C$17,0)),0))</f>
        <v/>
      </c>
      <c r="AV6" s="2" t="str">
        <f>IF('Input-EWEMs'!$D56="", "",ROUND('Input-EWEMs'!K56,0))</f>
        <v/>
      </c>
      <c r="AW6" s="2" t="str">
        <f>IF('Input-EWEMs'!$D56="", "",ROUND('Input-EWEMs'!L56,0))</f>
        <v/>
      </c>
    </row>
    <row r="7" spans="1:49" x14ac:dyDescent="0.2">
      <c r="A7" s="2"/>
      <c r="B7" s="2" t="str">
        <f>IF('Input-EWEMs'!$D57="", "",INDEX('Lender Validation'!$B$44:$B$73, MATCH($C7, 'Lender Validation'!$C$44:$C$73, 0)))</f>
        <v/>
      </c>
      <c r="C7" s="2" t="str">
        <f>IF('Input-EWEMs'!$D57="", "", 'Input-EWEMs'!C57)</f>
        <v/>
      </c>
      <c r="D7" s="2" t="str">
        <f>IF('Input-EWEMs'!$D57="", "", 'Input-EWEMs'!D57)</f>
        <v/>
      </c>
      <c r="E7" s="2" t="str">
        <f>IF('Input-EWEMs'!$D57="", "", IFERROR(INDEX('Reference-MeasureList'!$Q$7:$Q$10,MATCH('Input-EWEMs'!E17,'Reference-MeasureList'!$P$7:$P$10,0)),'Input-EWEMs'!E57))</f>
        <v/>
      </c>
      <c r="F7" s="2" t="str">
        <f>IF('Input-EWEMs'!$D57="", "", 'Input-EWEMs'!F57)</f>
        <v/>
      </c>
      <c r="G7" s="2" t="str">
        <f>IF('Input-EWEMs'!$D57="", "", 'Input-EWEMs'!G57)</f>
        <v/>
      </c>
      <c r="H7" s="2" t="str">
        <f>IF('Input-EWEMs'!$H57="", "", 'Input-EWEMs'!H57)</f>
        <v/>
      </c>
      <c r="I7" s="2" t="str">
        <f>IF('Input-EWEMs'!$I57="", "", 'Input-EWEMs'!I57)</f>
        <v/>
      </c>
      <c r="J7" s="2" t="str">
        <f>IF('Input-EWEMs'!$I57="", "", I7/'DB-Properties'!$K$2)</f>
        <v/>
      </c>
      <c r="K7" s="2" t="str">
        <f>IF('Input-EWEMs'!$D57="", "",ROUND('Input-EWEMs'!M57,0))</f>
        <v/>
      </c>
      <c r="L7" s="2" t="str">
        <f>IF('Input-EWEMs'!$D57="", "",SUM(O7,R7))</f>
        <v/>
      </c>
      <c r="M7" s="2" t="str">
        <f>IF('Input-EWEMs'!$D57="", "",ROUND('Input-EWEMs'!N57,0))</f>
        <v/>
      </c>
      <c r="N7" s="2" t="str">
        <f>IF('Input-EWEMs'!$D57="", "",ROUND('Input-EWEMs'!O57,0))</f>
        <v/>
      </c>
      <c r="O7" s="2" t="str">
        <f>IF('Input-EWEMs'!$D57="", "",ROUND('Input-EWEMs'!P57,0))</f>
        <v/>
      </c>
      <c r="P7" s="2" t="str">
        <f>IF('Input-EWEMs'!$D57="", "",ROUND('Input-EWEMs'!Q57,0))</f>
        <v/>
      </c>
      <c r="Q7" s="2" t="str">
        <f>IF('Input-EWEMs'!$D57="", "",ROUND('Input-EWEMs'!R57,0))</f>
        <v/>
      </c>
      <c r="R7" s="2" t="str">
        <f>IF('Input-EWEMs'!$D57="", "",ROUND('Input-EWEMs'!S57,0))</f>
        <v/>
      </c>
      <c r="S7" s="2" t="str">
        <f>IF('Input-EWEMs'!$D57="", "",'Input-EWEMs'!X57)</f>
        <v/>
      </c>
      <c r="T7" s="2" t="str">
        <f>IF('Input-EWEMs'!$D57="", "",IFERROR(INDEX('Input-EWEMs'!$Y57:$Z57,MATCH("Natural Gas",'Input-EWEMs'!$Y$10:$Z$10,0)),0))</f>
        <v/>
      </c>
      <c r="U7" s="2" t="str">
        <f>IF('Input-EWEMs'!$D57="", "",IFERROR(INDEX('Input-EWEMs'!$Y57:$Z57,MATCH("Fuel Oil #2",'Input-EWEMs'!$Y$10:$Z$10,0)),0))</f>
        <v/>
      </c>
      <c r="V7" s="2" t="str">
        <f>IF('Input-EWEMs'!$D57="", "",IFERROR(INDEX('Input-EWEMs'!$Y57:$Z57,MATCH("Fuel Oil #4",'Input-EWEMs'!$Y$10:$Z$10,0)),0))</f>
        <v/>
      </c>
      <c r="W7" s="2" t="str">
        <f>IF('Input-EWEMs'!$D57="", "",IFERROR(INDEX('Input-EWEMs'!$Y57:$Z57,MATCH("Fuel Oil #6",'Input-EWEMs'!$Y$10:$Z$10,0)),0))</f>
        <v/>
      </c>
      <c r="X7" s="2" t="str">
        <f>IF('Input-EWEMs'!$D57="", "",IFERROR(INDEX('Input-EWEMs'!$Y57:$Z57,MATCH("District Steam",'Input-EWEMs'!$Y$10:$Z$10,0)),0))</f>
        <v/>
      </c>
      <c r="Y7" s="2" t="str">
        <f>IF('Input-EWEMs'!$D57="", "",IFERROR(INDEX('Input-EWEMs'!$Y57:$Z57,MATCH("Propane",'Input-EWEMs'!$Y$10:$Z$10,0)),0))</f>
        <v/>
      </c>
      <c r="Z7" s="2" t="str">
        <f>IF('Input-EWEMs'!$D57="", "",IFERROR(INDEX('Input-EWEMs'!$Y57:$Z57,MATCH("District Hot Water",'Input-EWEMs'!$Y$10:$Z$10,0)),0))</f>
        <v/>
      </c>
      <c r="AA7" s="2" t="str">
        <f>IF('Input-EWEMs'!$D57="", "",IFERROR(INDEX('Input-EWEMs'!$Y57:$Z57,MATCH("District Chilled Water",'Input-EWEMs'!$Y$10:$Z$10,0)),0))</f>
        <v/>
      </c>
      <c r="AB7" s="2" t="str">
        <f>IF('Input-EWEMs'!$D57="", "",IFERROR(INDEX('Input-EWEMs'!$Y57:$Z57,MATCH("Other",'Input-EWEMs'!$Y$10:$Z$10,0)),0))</f>
        <v/>
      </c>
      <c r="AC7" s="2" t="str">
        <f>IF('Input-EWEMs'!$D57="", "",'Input-EWEMs'!AA57)</f>
        <v/>
      </c>
      <c r="AD7" s="2" t="str">
        <f>IF('Input-EWEMs'!$D57="", "",IFERROR(INDEX('Input-EWEMs'!$AB57:$AC57,MATCH("Natural Gas",'Input-EWEMs'!$AB$10:$AC$10,0)),0))</f>
        <v/>
      </c>
      <c r="AE7" s="2" t="str">
        <f>IF('Input-EWEMs'!$D57="", "",IFERROR(INDEX('Input-EWEMs'!$AB57:$AC57,MATCH("Fuel Oil #2",'Input-EWEMs'!$AB$10:$AC$10,0)),0))</f>
        <v/>
      </c>
      <c r="AF7" s="2" t="str">
        <f>IF('Input-EWEMs'!$D57="", "",IFERROR(INDEX('Input-EWEMs'!$AB57:$AC57,MATCH("Fuel Oil #4",'Input-EWEMs'!$AB$10:$AC$10,0)),0))</f>
        <v/>
      </c>
      <c r="AG7" s="2" t="str">
        <f>IF('Input-EWEMs'!$D57="", "",IFERROR(INDEX('Input-EWEMs'!$AB57:$AC57,MATCH("Fuel Oil #6",'Input-EWEMs'!$AB$10:$AC$10,0)),0))</f>
        <v/>
      </c>
      <c r="AH7" s="2" t="str">
        <f>IF('Input-EWEMs'!$D57="", "",IFERROR(INDEX('Input-EWEMs'!$AB57:$AC57,MATCH("District Steam",'Input-EWEMs'!$AB$10:$AC$10,0)),0))</f>
        <v/>
      </c>
      <c r="AI7" s="2" t="str">
        <f>IF('Input-EWEMs'!$D57="", "",IFERROR(INDEX('Input-EWEMs'!$AB57:$AC57,MATCH("Propane",'Input-EWEMs'!$AB$10:$AC$10,0)),0))</f>
        <v/>
      </c>
      <c r="AJ7" s="2" t="str">
        <f>IF('Input-EWEMs'!$D57="", "",IFERROR(INDEX('Input-EWEMs'!$AB57:$AC57,MATCH("District Hot Water",'Input-EWEMs'!$AB$10:$AC$10,0)),0))</f>
        <v/>
      </c>
      <c r="AK7" s="2" t="str">
        <f>IF('Input-EWEMs'!$D57="", "",IFERROR(INDEX('Input-EWEMs'!$AB57:$AC57,MATCH("District Chilled Water",'Input-EWEMs'!$AB$10:$AC$10,0)),0))</f>
        <v/>
      </c>
      <c r="AL7" s="2" t="str">
        <f>IF('Input-EWEMs'!$D57="", "",IFERROR(INDEX('Input-EWEMs'!$AB57:$AC57,MATCH("Other",'Input-EWEMs'!$AB$10:$AC$10,0)),0))</f>
        <v/>
      </c>
      <c r="AM7" s="2" t="str">
        <f>IF('Input-EWEMs'!$D57="", "",SUM(S7:AB7))</f>
        <v/>
      </c>
      <c r="AN7" s="2" t="str">
        <f>IF('Input-EWEMs'!$D57="", "",SUM(AC7:AL7))</f>
        <v/>
      </c>
      <c r="AO7" s="2" t="str">
        <f>IF('Input-EWEMs'!$D57="", "",'Input-EWEMs'!AF57)</f>
        <v/>
      </c>
      <c r="AP7" s="2" t="str">
        <f>IF('Input-EWEMs'!$D57="", "",'Input-EWEMs'!AH57)</f>
        <v/>
      </c>
      <c r="AQ7" s="2" t="str">
        <f>IF('Input-EWEMs'!$D57="", "",IFERROR(AN7/SUM('DB-Utilities'!$M$2:$M$4),""))</f>
        <v/>
      </c>
      <c r="AR7" s="2" t="str">
        <f>IF('Input-EWEMs'!$D57="", "",'Input-EWEMs'!AJ57)</f>
        <v/>
      </c>
      <c r="AS7" s="2" t="str">
        <f>IF('Input-EWEMs'!$D57="", "",'Input-EWEMs'!AK57)</f>
        <v/>
      </c>
      <c r="AT7" s="2" t="str">
        <f t="shared" si="0"/>
        <v/>
      </c>
      <c r="AU7" s="2" t="str">
        <f>IF('Input-EWEMs'!$D57="", "",IFERROR('Input-EWEMs'!T57*INDEX(Assumptions!$H$6:$H$17,MATCH('Input-EWEMs'!T$11,Assumptions!$C$6:$C$17,0)),0)+IFERROR('Input-EWEMs'!U57*INDEX(Assumptions!$H$6:$H$17,MATCH('Input-EWEMs'!U$11,Assumptions!$C$6:$C$17,0)),0)+IFERROR('Input-EWEMs'!V57*INDEX(Assumptions!$H$6:$H$17,MATCH('Input-EWEMs'!V$11,Assumptions!$C$6:$C$17,0)),0))</f>
        <v/>
      </c>
      <c r="AV7" s="2" t="str">
        <f>IF('Input-EWEMs'!$D57="", "",ROUND('Input-EWEMs'!K57,0))</f>
        <v/>
      </c>
      <c r="AW7" s="2" t="str">
        <f>IF('Input-EWEMs'!$D57="", "",ROUND('Input-EWEMs'!L57,0))</f>
        <v/>
      </c>
    </row>
    <row r="8" spans="1:49" x14ac:dyDescent="0.2">
      <c r="A8" s="2"/>
      <c r="B8" s="2" t="str">
        <f>IF('Input-EWEMs'!$D58="", "",INDEX('Lender Validation'!$B$44:$B$73, MATCH($C8, 'Lender Validation'!$C$44:$C$73, 0)))</f>
        <v/>
      </c>
      <c r="C8" s="2" t="str">
        <f>IF('Input-EWEMs'!$D58="", "", 'Input-EWEMs'!C58)</f>
        <v/>
      </c>
      <c r="D8" s="2" t="str">
        <f>IF('Input-EWEMs'!$D58="", "", 'Input-EWEMs'!D58)</f>
        <v/>
      </c>
      <c r="E8" s="2" t="str">
        <f>IF('Input-EWEMs'!$D58="", "", IFERROR(INDEX('Reference-MeasureList'!$Q$7:$Q$10,MATCH('Input-EWEMs'!E18,'Reference-MeasureList'!$P$7:$P$10,0)),'Input-EWEMs'!E58))</f>
        <v/>
      </c>
      <c r="F8" s="2" t="str">
        <f>IF('Input-EWEMs'!$D58="", "", 'Input-EWEMs'!F58)</f>
        <v/>
      </c>
      <c r="G8" s="2" t="str">
        <f>IF('Input-EWEMs'!$D58="", "", 'Input-EWEMs'!G58)</f>
        <v/>
      </c>
      <c r="H8" s="2" t="str">
        <f>IF('Input-EWEMs'!$H58="", "", 'Input-EWEMs'!H58)</f>
        <v/>
      </c>
      <c r="I8" s="2" t="str">
        <f>IF('Input-EWEMs'!$I58="", "", 'Input-EWEMs'!I58)</f>
        <v/>
      </c>
      <c r="J8" s="2" t="str">
        <f>IF('Input-EWEMs'!$I58="", "", I8/'DB-Properties'!$K$2)</f>
        <v/>
      </c>
      <c r="K8" s="2" t="str">
        <f>IF('Input-EWEMs'!$D58="", "",ROUND('Input-EWEMs'!M58,0))</f>
        <v/>
      </c>
      <c r="L8" s="2" t="str">
        <f>IF('Input-EWEMs'!$D58="", "",SUM(O8,R8))</f>
        <v/>
      </c>
      <c r="M8" s="2" t="str">
        <f>IF('Input-EWEMs'!$D58="", "",ROUND('Input-EWEMs'!N58,0))</f>
        <v/>
      </c>
      <c r="N8" s="2" t="str">
        <f>IF('Input-EWEMs'!$D58="", "",ROUND('Input-EWEMs'!O58,0))</f>
        <v/>
      </c>
      <c r="O8" s="2" t="str">
        <f>IF('Input-EWEMs'!$D58="", "",ROUND('Input-EWEMs'!P58,0))</f>
        <v/>
      </c>
      <c r="P8" s="2" t="str">
        <f>IF('Input-EWEMs'!$D58="", "",ROUND('Input-EWEMs'!Q58,0))</f>
        <v/>
      </c>
      <c r="Q8" s="2" t="str">
        <f>IF('Input-EWEMs'!$D58="", "",ROUND('Input-EWEMs'!R58,0))</f>
        <v/>
      </c>
      <c r="R8" s="2" t="str">
        <f>IF('Input-EWEMs'!$D58="", "",ROUND('Input-EWEMs'!S58,0))</f>
        <v/>
      </c>
      <c r="S8" s="2" t="str">
        <f>IF('Input-EWEMs'!$D58="", "",'Input-EWEMs'!X58)</f>
        <v/>
      </c>
      <c r="T8" s="2" t="str">
        <f>IF('Input-EWEMs'!$D58="", "",IFERROR(INDEX('Input-EWEMs'!$Y58:$Z58,MATCH("Natural Gas",'Input-EWEMs'!$Y$10:$Z$10,0)),0))</f>
        <v/>
      </c>
      <c r="U8" s="2" t="str">
        <f>IF('Input-EWEMs'!$D58="", "",IFERROR(INDEX('Input-EWEMs'!$Y58:$Z58,MATCH("Fuel Oil #2",'Input-EWEMs'!$Y$10:$Z$10,0)),0))</f>
        <v/>
      </c>
      <c r="V8" s="2" t="str">
        <f>IF('Input-EWEMs'!$D58="", "",IFERROR(INDEX('Input-EWEMs'!$Y58:$Z58,MATCH("Fuel Oil #4",'Input-EWEMs'!$Y$10:$Z$10,0)),0))</f>
        <v/>
      </c>
      <c r="W8" s="2" t="str">
        <f>IF('Input-EWEMs'!$D58="", "",IFERROR(INDEX('Input-EWEMs'!$Y58:$Z58,MATCH("Fuel Oil #6",'Input-EWEMs'!$Y$10:$Z$10,0)),0))</f>
        <v/>
      </c>
      <c r="X8" s="2" t="str">
        <f>IF('Input-EWEMs'!$D58="", "",IFERROR(INDEX('Input-EWEMs'!$Y58:$Z58,MATCH("District Steam",'Input-EWEMs'!$Y$10:$Z$10,0)),0))</f>
        <v/>
      </c>
      <c r="Y8" s="2" t="str">
        <f>IF('Input-EWEMs'!$D58="", "",IFERROR(INDEX('Input-EWEMs'!$Y58:$Z58,MATCH("Propane",'Input-EWEMs'!$Y$10:$Z$10,0)),0))</f>
        <v/>
      </c>
      <c r="Z8" s="2" t="str">
        <f>IF('Input-EWEMs'!$D58="", "",IFERROR(INDEX('Input-EWEMs'!$Y58:$Z58,MATCH("District Hot Water",'Input-EWEMs'!$Y$10:$Z$10,0)),0))</f>
        <v/>
      </c>
      <c r="AA8" s="2" t="str">
        <f>IF('Input-EWEMs'!$D58="", "",IFERROR(INDEX('Input-EWEMs'!$Y58:$Z58,MATCH("District Chilled Water",'Input-EWEMs'!$Y$10:$Z$10,0)),0))</f>
        <v/>
      </c>
      <c r="AB8" s="2" t="str">
        <f>IF('Input-EWEMs'!$D58="", "",IFERROR(INDEX('Input-EWEMs'!$Y58:$Z58,MATCH("Other",'Input-EWEMs'!$Y$10:$Z$10,0)),0))</f>
        <v/>
      </c>
      <c r="AC8" s="2" t="str">
        <f>IF('Input-EWEMs'!$D58="", "",'Input-EWEMs'!AA58)</f>
        <v/>
      </c>
      <c r="AD8" s="2" t="str">
        <f>IF('Input-EWEMs'!$D58="", "",IFERROR(INDEX('Input-EWEMs'!$AB58:$AC58,MATCH("Natural Gas",'Input-EWEMs'!$AB$10:$AC$10,0)),0))</f>
        <v/>
      </c>
      <c r="AE8" s="2" t="str">
        <f>IF('Input-EWEMs'!$D58="", "",IFERROR(INDEX('Input-EWEMs'!$AB58:$AC58,MATCH("Fuel Oil #2",'Input-EWEMs'!$AB$10:$AC$10,0)),0))</f>
        <v/>
      </c>
      <c r="AF8" s="2" t="str">
        <f>IF('Input-EWEMs'!$D58="", "",IFERROR(INDEX('Input-EWEMs'!$AB58:$AC58,MATCH("Fuel Oil #4",'Input-EWEMs'!$AB$10:$AC$10,0)),0))</f>
        <v/>
      </c>
      <c r="AG8" s="2" t="str">
        <f>IF('Input-EWEMs'!$D58="", "",IFERROR(INDEX('Input-EWEMs'!$AB58:$AC58,MATCH("Fuel Oil #6",'Input-EWEMs'!$AB$10:$AC$10,0)),0))</f>
        <v/>
      </c>
      <c r="AH8" s="2" t="str">
        <f>IF('Input-EWEMs'!$D58="", "",IFERROR(INDEX('Input-EWEMs'!$AB58:$AC58,MATCH("District Steam",'Input-EWEMs'!$AB$10:$AC$10,0)),0))</f>
        <v/>
      </c>
      <c r="AI8" s="2" t="str">
        <f>IF('Input-EWEMs'!$D58="", "",IFERROR(INDEX('Input-EWEMs'!$AB58:$AC58,MATCH("Propane",'Input-EWEMs'!$AB$10:$AC$10,0)),0))</f>
        <v/>
      </c>
      <c r="AJ8" s="2" t="str">
        <f>IF('Input-EWEMs'!$D58="", "",IFERROR(INDEX('Input-EWEMs'!$AB58:$AC58,MATCH("District Hot Water",'Input-EWEMs'!$AB$10:$AC$10,0)),0))</f>
        <v/>
      </c>
      <c r="AK8" s="2" t="str">
        <f>IF('Input-EWEMs'!$D58="", "",IFERROR(INDEX('Input-EWEMs'!$AB58:$AC58,MATCH("District Chilled Water",'Input-EWEMs'!$AB$10:$AC$10,0)),0))</f>
        <v/>
      </c>
      <c r="AL8" s="2" t="str">
        <f>IF('Input-EWEMs'!$D58="", "",IFERROR(INDEX('Input-EWEMs'!$AB58:$AC58,MATCH("Other",'Input-EWEMs'!$AB$10:$AC$10,0)),0))</f>
        <v/>
      </c>
      <c r="AM8" s="2" t="str">
        <f>IF('Input-EWEMs'!$D58="", "",SUM(S8:AB8))</f>
        <v/>
      </c>
      <c r="AN8" s="2" t="str">
        <f>IF('Input-EWEMs'!$D58="", "",SUM(AC8:AL8))</f>
        <v/>
      </c>
      <c r="AO8" s="2" t="str">
        <f>IF('Input-EWEMs'!$D58="", "",'Input-EWEMs'!AF58)</f>
        <v/>
      </c>
      <c r="AP8" s="2" t="str">
        <f>IF('Input-EWEMs'!$D58="", "",'Input-EWEMs'!AH58)</f>
        <v/>
      </c>
      <c r="AQ8" s="2" t="str">
        <f>IF('Input-EWEMs'!$D58="", "",IFERROR(AN8/SUM('DB-Utilities'!$M$2:$M$4),""))</f>
        <v/>
      </c>
      <c r="AR8" s="2" t="str">
        <f>IF('Input-EWEMs'!$D58="", "",'Input-EWEMs'!AJ58)</f>
        <v/>
      </c>
      <c r="AS8" s="2" t="str">
        <f>IF('Input-EWEMs'!$D58="", "",'Input-EWEMs'!AK58)</f>
        <v/>
      </c>
      <c r="AT8" s="2" t="str">
        <f t="shared" si="0"/>
        <v/>
      </c>
      <c r="AU8" s="2" t="str">
        <f>IF('Input-EWEMs'!$D58="", "",IFERROR('Input-EWEMs'!T58*INDEX(Assumptions!$H$6:$H$17,MATCH('Input-EWEMs'!T$11,Assumptions!$C$6:$C$17,0)),0)+IFERROR('Input-EWEMs'!U58*INDEX(Assumptions!$H$6:$H$17,MATCH('Input-EWEMs'!U$11,Assumptions!$C$6:$C$17,0)),0)+IFERROR('Input-EWEMs'!V58*INDEX(Assumptions!$H$6:$H$17,MATCH('Input-EWEMs'!V$11,Assumptions!$C$6:$C$17,0)),0))</f>
        <v/>
      </c>
      <c r="AV8" s="2" t="str">
        <f>IF('Input-EWEMs'!$D58="", "",ROUND('Input-EWEMs'!K58,0))</f>
        <v/>
      </c>
      <c r="AW8" s="2" t="str">
        <f>IF('Input-EWEMs'!$D58="", "",ROUND('Input-EWEMs'!L58,0))</f>
        <v/>
      </c>
    </row>
    <row r="9" spans="1:49" x14ac:dyDescent="0.2">
      <c r="A9" s="2"/>
      <c r="B9" s="2" t="str">
        <f>IF('Input-EWEMs'!$D59="", "",INDEX('Lender Validation'!$B$44:$B$73, MATCH($C9, 'Lender Validation'!$C$44:$C$73, 0)))</f>
        <v/>
      </c>
      <c r="C9" s="2" t="str">
        <f>IF('Input-EWEMs'!$D59="", "", 'Input-EWEMs'!C59)</f>
        <v/>
      </c>
      <c r="D9" s="2" t="str">
        <f>IF('Input-EWEMs'!$D59="", "", 'Input-EWEMs'!D59)</f>
        <v/>
      </c>
      <c r="E9" s="2" t="str">
        <f>IF('Input-EWEMs'!$D59="", "", IFERROR(INDEX('Reference-MeasureList'!$Q$7:$Q$10,MATCH('Input-EWEMs'!E19,'Reference-MeasureList'!$P$7:$P$10,0)),'Input-EWEMs'!E59))</f>
        <v/>
      </c>
      <c r="F9" s="2" t="str">
        <f>IF('Input-EWEMs'!$D59="", "", 'Input-EWEMs'!F59)</f>
        <v/>
      </c>
      <c r="G9" s="2" t="str">
        <f>IF('Input-EWEMs'!$D59="", "", 'Input-EWEMs'!G59)</f>
        <v/>
      </c>
      <c r="H9" s="2" t="str">
        <f>IF('Input-EWEMs'!$H59="", "", 'Input-EWEMs'!H59)</f>
        <v/>
      </c>
      <c r="I9" s="2" t="str">
        <f>IF('Input-EWEMs'!$I59="", "", 'Input-EWEMs'!I59)</f>
        <v/>
      </c>
      <c r="J9" s="2" t="str">
        <f>IF('Input-EWEMs'!$I59="", "", I9/'DB-Properties'!$K$2)</f>
        <v/>
      </c>
      <c r="K9" s="2" t="str">
        <f>IF('Input-EWEMs'!$D59="", "",ROUND('Input-EWEMs'!M59,0))</f>
        <v/>
      </c>
      <c r="L9" s="2" t="str">
        <f>IF('Input-EWEMs'!$D59="", "",SUM(O9,R9))</f>
        <v/>
      </c>
      <c r="M9" s="2" t="str">
        <f>IF('Input-EWEMs'!$D59="", "",ROUND('Input-EWEMs'!N59,0))</f>
        <v/>
      </c>
      <c r="N9" s="2" t="str">
        <f>IF('Input-EWEMs'!$D59="", "",ROUND('Input-EWEMs'!O59,0))</f>
        <v/>
      </c>
      <c r="O9" s="2" t="str">
        <f>IF('Input-EWEMs'!$D59="", "",ROUND('Input-EWEMs'!P59,0))</f>
        <v/>
      </c>
      <c r="P9" s="2" t="str">
        <f>IF('Input-EWEMs'!$D59="", "",ROUND('Input-EWEMs'!Q59,0))</f>
        <v/>
      </c>
      <c r="Q9" s="2" t="str">
        <f>IF('Input-EWEMs'!$D59="", "",ROUND('Input-EWEMs'!R59,0))</f>
        <v/>
      </c>
      <c r="R9" s="2" t="str">
        <f>IF('Input-EWEMs'!$D59="", "",ROUND('Input-EWEMs'!S59,0))</f>
        <v/>
      </c>
      <c r="S9" s="2" t="str">
        <f>IF('Input-EWEMs'!$D59="", "",'Input-EWEMs'!X59)</f>
        <v/>
      </c>
      <c r="T9" s="2" t="str">
        <f>IF('Input-EWEMs'!$D59="", "",IFERROR(INDEX('Input-EWEMs'!$Y59:$Z59,MATCH("Natural Gas",'Input-EWEMs'!$Y$10:$Z$10,0)),0))</f>
        <v/>
      </c>
      <c r="U9" s="2" t="str">
        <f>IF('Input-EWEMs'!$D59="", "",IFERROR(INDEX('Input-EWEMs'!$Y59:$Z59,MATCH("Fuel Oil #2",'Input-EWEMs'!$Y$10:$Z$10,0)),0))</f>
        <v/>
      </c>
      <c r="V9" s="2" t="str">
        <f>IF('Input-EWEMs'!$D59="", "",IFERROR(INDEX('Input-EWEMs'!$Y59:$Z59,MATCH("Fuel Oil #4",'Input-EWEMs'!$Y$10:$Z$10,0)),0))</f>
        <v/>
      </c>
      <c r="W9" s="2" t="str">
        <f>IF('Input-EWEMs'!$D59="", "",IFERROR(INDEX('Input-EWEMs'!$Y59:$Z59,MATCH("Fuel Oil #6",'Input-EWEMs'!$Y$10:$Z$10,0)),0))</f>
        <v/>
      </c>
      <c r="X9" s="2" t="str">
        <f>IF('Input-EWEMs'!$D59="", "",IFERROR(INDEX('Input-EWEMs'!$Y59:$Z59,MATCH("District Steam",'Input-EWEMs'!$Y$10:$Z$10,0)),0))</f>
        <v/>
      </c>
      <c r="Y9" s="2" t="str">
        <f>IF('Input-EWEMs'!$D59="", "",IFERROR(INDEX('Input-EWEMs'!$Y59:$Z59,MATCH("Propane",'Input-EWEMs'!$Y$10:$Z$10,0)),0))</f>
        <v/>
      </c>
      <c r="Z9" s="2" t="str">
        <f>IF('Input-EWEMs'!$D59="", "",IFERROR(INDEX('Input-EWEMs'!$Y59:$Z59,MATCH("District Hot Water",'Input-EWEMs'!$Y$10:$Z$10,0)),0))</f>
        <v/>
      </c>
      <c r="AA9" s="2" t="str">
        <f>IF('Input-EWEMs'!$D59="", "",IFERROR(INDEX('Input-EWEMs'!$Y59:$Z59,MATCH("District Chilled Water",'Input-EWEMs'!$Y$10:$Z$10,0)),0))</f>
        <v/>
      </c>
      <c r="AB9" s="2" t="str">
        <f>IF('Input-EWEMs'!$D59="", "",IFERROR(INDEX('Input-EWEMs'!$Y59:$Z59,MATCH("Other",'Input-EWEMs'!$Y$10:$Z$10,0)),0))</f>
        <v/>
      </c>
      <c r="AC9" s="2" t="str">
        <f>IF('Input-EWEMs'!$D59="", "",'Input-EWEMs'!AA59)</f>
        <v/>
      </c>
      <c r="AD9" s="2" t="str">
        <f>IF('Input-EWEMs'!$D59="", "",IFERROR(INDEX('Input-EWEMs'!$AB59:$AC59,MATCH("Natural Gas",'Input-EWEMs'!$AB$10:$AC$10,0)),0))</f>
        <v/>
      </c>
      <c r="AE9" s="2" t="str">
        <f>IF('Input-EWEMs'!$D59="", "",IFERROR(INDEX('Input-EWEMs'!$AB59:$AC59,MATCH("Fuel Oil #2",'Input-EWEMs'!$AB$10:$AC$10,0)),0))</f>
        <v/>
      </c>
      <c r="AF9" s="2" t="str">
        <f>IF('Input-EWEMs'!$D59="", "",IFERROR(INDEX('Input-EWEMs'!$AB59:$AC59,MATCH("Fuel Oil #4",'Input-EWEMs'!$AB$10:$AC$10,0)),0))</f>
        <v/>
      </c>
      <c r="AG9" s="2" t="str">
        <f>IF('Input-EWEMs'!$D59="", "",IFERROR(INDEX('Input-EWEMs'!$AB59:$AC59,MATCH("Fuel Oil #6",'Input-EWEMs'!$AB$10:$AC$10,0)),0))</f>
        <v/>
      </c>
      <c r="AH9" s="2" t="str">
        <f>IF('Input-EWEMs'!$D59="", "",IFERROR(INDEX('Input-EWEMs'!$AB59:$AC59,MATCH("District Steam",'Input-EWEMs'!$AB$10:$AC$10,0)),0))</f>
        <v/>
      </c>
      <c r="AI9" s="2" t="str">
        <f>IF('Input-EWEMs'!$D59="", "",IFERROR(INDEX('Input-EWEMs'!$AB59:$AC59,MATCH("Propane",'Input-EWEMs'!$AB$10:$AC$10,0)),0))</f>
        <v/>
      </c>
      <c r="AJ9" s="2" t="str">
        <f>IF('Input-EWEMs'!$D59="", "",IFERROR(INDEX('Input-EWEMs'!$AB59:$AC59,MATCH("District Hot Water",'Input-EWEMs'!$AB$10:$AC$10,0)),0))</f>
        <v/>
      </c>
      <c r="AK9" s="2" t="str">
        <f>IF('Input-EWEMs'!$D59="", "",IFERROR(INDEX('Input-EWEMs'!$AB59:$AC59,MATCH("District Chilled Water",'Input-EWEMs'!$AB$10:$AC$10,0)),0))</f>
        <v/>
      </c>
      <c r="AL9" s="2" t="str">
        <f>IF('Input-EWEMs'!$D59="", "",IFERROR(INDEX('Input-EWEMs'!$AB59:$AC59,MATCH("Other",'Input-EWEMs'!$AB$10:$AC$10,0)),0))</f>
        <v/>
      </c>
      <c r="AM9" s="2" t="str">
        <f>IF('Input-EWEMs'!$D59="", "",SUM(S9:AB9))</f>
        <v/>
      </c>
      <c r="AN9" s="2" t="str">
        <f>IF('Input-EWEMs'!$D59="", "",SUM(AC9:AL9))</f>
        <v/>
      </c>
      <c r="AO9" s="2" t="str">
        <f>IF('Input-EWEMs'!$D59="", "",'Input-EWEMs'!AF59)</f>
        <v/>
      </c>
      <c r="AP9" s="2" t="str">
        <f>IF('Input-EWEMs'!$D59="", "",'Input-EWEMs'!AH59)</f>
        <v/>
      </c>
      <c r="AQ9" s="2" t="str">
        <f>IF('Input-EWEMs'!$D59="", "",IFERROR(AN9/SUM('DB-Utilities'!$M$2:$M$4),""))</f>
        <v/>
      </c>
      <c r="AR9" s="2" t="str">
        <f>IF('Input-EWEMs'!$D59="", "",'Input-EWEMs'!AJ59)</f>
        <v/>
      </c>
      <c r="AS9" s="2" t="str">
        <f>IF('Input-EWEMs'!$D59="", "",'Input-EWEMs'!AK59)</f>
        <v/>
      </c>
      <c r="AT9" s="2" t="str">
        <f t="shared" si="0"/>
        <v/>
      </c>
      <c r="AU9" s="2" t="str">
        <f>IF('Input-EWEMs'!$D59="", "",IFERROR('Input-EWEMs'!T59*INDEX(Assumptions!$H$6:$H$17,MATCH('Input-EWEMs'!T$11,Assumptions!$C$6:$C$17,0)),0)+IFERROR('Input-EWEMs'!U59*INDEX(Assumptions!$H$6:$H$17,MATCH('Input-EWEMs'!U$11,Assumptions!$C$6:$C$17,0)),0)+IFERROR('Input-EWEMs'!V59*INDEX(Assumptions!$H$6:$H$17,MATCH('Input-EWEMs'!V$11,Assumptions!$C$6:$C$17,0)),0))</f>
        <v/>
      </c>
      <c r="AV9" s="2" t="str">
        <f>IF('Input-EWEMs'!$D59="", "",ROUND('Input-EWEMs'!K59,0))</f>
        <v/>
      </c>
      <c r="AW9" s="2" t="str">
        <f>IF('Input-EWEMs'!$D59="", "",ROUND('Input-EWEMs'!L59,0))</f>
        <v/>
      </c>
    </row>
    <row r="10" spans="1:49" x14ac:dyDescent="0.2">
      <c r="A10" s="2"/>
      <c r="B10" s="2" t="str">
        <f>IF('Input-EWEMs'!$D60="", "",INDEX('Lender Validation'!$B$44:$B$73, MATCH($C10, 'Lender Validation'!$C$44:$C$73, 0)))</f>
        <v/>
      </c>
      <c r="C10" s="2" t="str">
        <f>IF('Input-EWEMs'!$D60="", "", 'Input-EWEMs'!C60)</f>
        <v/>
      </c>
      <c r="D10" s="2" t="str">
        <f>IF('Input-EWEMs'!$D60="", "", 'Input-EWEMs'!D60)</f>
        <v/>
      </c>
      <c r="E10" s="2" t="str">
        <f>IF('Input-EWEMs'!$D60="", "", IFERROR(INDEX('Reference-MeasureList'!$Q$7:$Q$10,MATCH('Input-EWEMs'!E20,'Reference-MeasureList'!$P$7:$P$10,0)),'Input-EWEMs'!E60))</f>
        <v/>
      </c>
      <c r="F10" s="2" t="str">
        <f>IF('Input-EWEMs'!$D60="", "", 'Input-EWEMs'!F60)</f>
        <v/>
      </c>
      <c r="G10" s="2" t="str">
        <f>IF('Input-EWEMs'!$D60="", "", 'Input-EWEMs'!G60)</f>
        <v/>
      </c>
      <c r="H10" s="2" t="str">
        <f>IF('Input-EWEMs'!$H60="", "", 'Input-EWEMs'!H60)</f>
        <v/>
      </c>
      <c r="I10" s="2" t="str">
        <f>IF('Input-EWEMs'!$I60="", "", 'Input-EWEMs'!I60)</f>
        <v/>
      </c>
      <c r="J10" s="2" t="str">
        <f>IF('Input-EWEMs'!$I60="", "", I10/'DB-Properties'!$K$2)</f>
        <v/>
      </c>
      <c r="K10" s="2" t="str">
        <f>IF('Input-EWEMs'!$D60="", "",ROUND('Input-EWEMs'!M60,0))</f>
        <v/>
      </c>
      <c r="L10" s="2" t="str">
        <f>IF('Input-EWEMs'!$D60="", "",SUM(O10,R10))</f>
        <v/>
      </c>
      <c r="M10" s="2" t="str">
        <f>IF('Input-EWEMs'!$D60="", "",ROUND('Input-EWEMs'!N60,0))</f>
        <v/>
      </c>
      <c r="N10" s="2" t="str">
        <f>IF('Input-EWEMs'!$D60="", "",ROUND('Input-EWEMs'!O60,0))</f>
        <v/>
      </c>
      <c r="O10" s="2" t="str">
        <f>IF('Input-EWEMs'!$D60="", "",ROUND('Input-EWEMs'!P60,0))</f>
        <v/>
      </c>
      <c r="P10" s="2" t="str">
        <f>IF('Input-EWEMs'!$D60="", "",ROUND('Input-EWEMs'!Q60,0))</f>
        <v/>
      </c>
      <c r="Q10" s="2" t="str">
        <f>IF('Input-EWEMs'!$D60="", "",ROUND('Input-EWEMs'!R60,0))</f>
        <v/>
      </c>
      <c r="R10" s="2" t="str">
        <f>IF('Input-EWEMs'!$D60="", "",ROUND('Input-EWEMs'!S60,0))</f>
        <v/>
      </c>
      <c r="S10" s="2" t="str">
        <f>IF('Input-EWEMs'!$D60="", "",'Input-EWEMs'!X60)</f>
        <v/>
      </c>
      <c r="T10" s="2" t="str">
        <f>IF('Input-EWEMs'!$D60="", "",IFERROR(INDEX('Input-EWEMs'!$Y60:$Z60,MATCH("Natural Gas",'Input-EWEMs'!$Y$10:$Z$10,0)),0))</f>
        <v/>
      </c>
      <c r="U10" s="2" t="str">
        <f>IF('Input-EWEMs'!$D60="", "",IFERROR(INDEX('Input-EWEMs'!$Y60:$Z60,MATCH("Fuel Oil #2",'Input-EWEMs'!$Y$10:$Z$10,0)),0))</f>
        <v/>
      </c>
      <c r="V10" s="2" t="str">
        <f>IF('Input-EWEMs'!$D60="", "",IFERROR(INDEX('Input-EWEMs'!$Y60:$Z60,MATCH("Fuel Oil #4",'Input-EWEMs'!$Y$10:$Z$10,0)),0))</f>
        <v/>
      </c>
      <c r="W10" s="2" t="str">
        <f>IF('Input-EWEMs'!$D60="", "",IFERROR(INDEX('Input-EWEMs'!$Y60:$Z60,MATCH("Fuel Oil #6",'Input-EWEMs'!$Y$10:$Z$10,0)),0))</f>
        <v/>
      </c>
      <c r="X10" s="2" t="str">
        <f>IF('Input-EWEMs'!$D60="", "",IFERROR(INDEX('Input-EWEMs'!$Y60:$Z60,MATCH("District Steam",'Input-EWEMs'!$Y$10:$Z$10,0)),0))</f>
        <v/>
      </c>
      <c r="Y10" s="2" t="str">
        <f>IF('Input-EWEMs'!$D60="", "",IFERROR(INDEX('Input-EWEMs'!$Y60:$Z60,MATCH("Propane",'Input-EWEMs'!$Y$10:$Z$10,0)),0))</f>
        <v/>
      </c>
      <c r="Z10" s="2" t="str">
        <f>IF('Input-EWEMs'!$D60="", "",IFERROR(INDEX('Input-EWEMs'!$Y60:$Z60,MATCH("District Hot Water",'Input-EWEMs'!$Y$10:$Z$10,0)),0))</f>
        <v/>
      </c>
      <c r="AA10" s="2" t="str">
        <f>IF('Input-EWEMs'!$D60="", "",IFERROR(INDEX('Input-EWEMs'!$Y60:$Z60,MATCH("District Chilled Water",'Input-EWEMs'!$Y$10:$Z$10,0)),0))</f>
        <v/>
      </c>
      <c r="AB10" s="2" t="str">
        <f>IF('Input-EWEMs'!$D60="", "",IFERROR(INDEX('Input-EWEMs'!$Y60:$Z60,MATCH("Other",'Input-EWEMs'!$Y$10:$Z$10,0)),0))</f>
        <v/>
      </c>
      <c r="AC10" s="2" t="str">
        <f>IF('Input-EWEMs'!$D60="", "",'Input-EWEMs'!AA60)</f>
        <v/>
      </c>
      <c r="AD10" s="2" t="str">
        <f>IF('Input-EWEMs'!$D60="", "",IFERROR(INDEX('Input-EWEMs'!$AB60:$AC60,MATCH("Natural Gas",'Input-EWEMs'!$AB$10:$AC$10,0)),0))</f>
        <v/>
      </c>
      <c r="AE10" s="2" t="str">
        <f>IF('Input-EWEMs'!$D60="", "",IFERROR(INDEX('Input-EWEMs'!$AB60:$AC60,MATCH("Fuel Oil #2",'Input-EWEMs'!$AB$10:$AC$10,0)),0))</f>
        <v/>
      </c>
      <c r="AF10" s="2" t="str">
        <f>IF('Input-EWEMs'!$D60="", "",IFERROR(INDEX('Input-EWEMs'!$AB60:$AC60,MATCH("Fuel Oil #4",'Input-EWEMs'!$AB$10:$AC$10,0)),0))</f>
        <v/>
      </c>
      <c r="AG10" s="2" t="str">
        <f>IF('Input-EWEMs'!$D60="", "",IFERROR(INDEX('Input-EWEMs'!$AB60:$AC60,MATCH("Fuel Oil #6",'Input-EWEMs'!$AB$10:$AC$10,0)),0))</f>
        <v/>
      </c>
      <c r="AH10" s="2" t="str">
        <f>IF('Input-EWEMs'!$D60="", "",IFERROR(INDEX('Input-EWEMs'!$AB60:$AC60,MATCH("District Steam",'Input-EWEMs'!$AB$10:$AC$10,0)),0))</f>
        <v/>
      </c>
      <c r="AI10" s="2" t="str">
        <f>IF('Input-EWEMs'!$D60="", "",IFERROR(INDEX('Input-EWEMs'!$AB60:$AC60,MATCH("Propane",'Input-EWEMs'!$AB$10:$AC$10,0)),0))</f>
        <v/>
      </c>
      <c r="AJ10" s="2" t="str">
        <f>IF('Input-EWEMs'!$D60="", "",IFERROR(INDEX('Input-EWEMs'!$AB60:$AC60,MATCH("District Hot Water",'Input-EWEMs'!$AB$10:$AC$10,0)),0))</f>
        <v/>
      </c>
      <c r="AK10" s="2" t="str">
        <f>IF('Input-EWEMs'!$D60="", "",IFERROR(INDEX('Input-EWEMs'!$AB60:$AC60,MATCH("District Chilled Water",'Input-EWEMs'!$AB$10:$AC$10,0)),0))</f>
        <v/>
      </c>
      <c r="AL10" s="2" t="str">
        <f>IF('Input-EWEMs'!$D60="", "",IFERROR(INDEX('Input-EWEMs'!$AB60:$AC60,MATCH("Other",'Input-EWEMs'!$AB$10:$AC$10,0)),0))</f>
        <v/>
      </c>
      <c r="AM10" s="2" t="str">
        <f>IF('Input-EWEMs'!$D60="", "",SUM(S10:AB10))</f>
        <v/>
      </c>
      <c r="AN10" s="2" t="str">
        <f>IF('Input-EWEMs'!$D60="", "",SUM(AC10:AL10))</f>
        <v/>
      </c>
      <c r="AO10" s="2" t="str">
        <f>IF('Input-EWEMs'!$D60="", "",'Input-EWEMs'!AF60)</f>
        <v/>
      </c>
      <c r="AP10" s="2" t="str">
        <f>IF('Input-EWEMs'!$D60="", "",'Input-EWEMs'!AH60)</f>
        <v/>
      </c>
      <c r="AQ10" s="2" t="str">
        <f>IF('Input-EWEMs'!$D60="", "",IFERROR(AN10/SUM('DB-Utilities'!$M$2:$M$4),""))</f>
        <v/>
      </c>
      <c r="AR10" s="2" t="str">
        <f>IF('Input-EWEMs'!$D60="", "",'Input-EWEMs'!AJ60)</f>
        <v/>
      </c>
      <c r="AS10" s="2" t="str">
        <f>IF('Input-EWEMs'!$D60="", "",'Input-EWEMs'!AK60)</f>
        <v/>
      </c>
      <c r="AT10" s="2" t="str">
        <f t="shared" si="0"/>
        <v/>
      </c>
      <c r="AU10" s="2" t="str">
        <f>IF('Input-EWEMs'!$D60="", "",IFERROR('Input-EWEMs'!T60*INDEX(Assumptions!$H$6:$H$17,MATCH('Input-EWEMs'!T$11,Assumptions!$C$6:$C$17,0)),0)+IFERROR('Input-EWEMs'!U60*INDEX(Assumptions!$H$6:$H$17,MATCH('Input-EWEMs'!U$11,Assumptions!$C$6:$C$17,0)),0)+IFERROR('Input-EWEMs'!V60*INDEX(Assumptions!$H$6:$H$17,MATCH('Input-EWEMs'!V$11,Assumptions!$C$6:$C$17,0)),0))</f>
        <v/>
      </c>
      <c r="AV10" s="2" t="str">
        <f>IF('Input-EWEMs'!$D60="", "",ROUND('Input-EWEMs'!K60,0))</f>
        <v/>
      </c>
      <c r="AW10" s="2" t="str">
        <f>IF('Input-EWEMs'!$D60="", "",ROUND('Input-EWEMs'!L60,0))</f>
        <v/>
      </c>
    </row>
    <row r="11" spans="1:49" x14ac:dyDescent="0.2">
      <c r="A11" s="2"/>
      <c r="B11" s="2" t="str">
        <f>IF('Input-EWEMs'!$D61="", "",INDEX('Lender Validation'!$B$44:$B$73, MATCH($C11, 'Lender Validation'!$C$44:$C$73, 0)))</f>
        <v/>
      </c>
      <c r="C11" s="2" t="str">
        <f>IF('Input-EWEMs'!$D61="", "", 'Input-EWEMs'!C61)</f>
        <v/>
      </c>
      <c r="D11" s="2" t="str">
        <f>IF('Input-EWEMs'!$D61="", "", 'Input-EWEMs'!D61)</f>
        <v/>
      </c>
      <c r="E11" s="2" t="str">
        <f>IF('Input-EWEMs'!$D61="", "", IFERROR(INDEX('Reference-MeasureList'!$Q$7:$Q$10,MATCH('Input-EWEMs'!E21,'Reference-MeasureList'!$P$7:$P$10,0)),'Input-EWEMs'!E61))</f>
        <v/>
      </c>
      <c r="F11" s="2" t="str">
        <f>IF('Input-EWEMs'!$D61="", "", 'Input-EWEMs'!F61)</f>
        <v/>
      </c>
      <c r="G11" s="2" t="str">
        <f>IF('Input-EWEMs'!$D61="", "", 'Input-EWEMs'!G61)</f>
        <v/>
      </c>
      <c r="H11" s="2" t="str">
        <f>IF('Input-EWEMs'!$H61="", "", 'Input-EWEMs'!H61)</f>
        <v/>
      </c>
      <c r="I11" s="2" t="str">
        <f>IF('Input-EWEMs'!$I61="", "", 'Input-EWEMs'!I61)</f>
        <v/>
      </c>
      <c r="J11" s="2" t="str">
        <f>IF('Input-EWEMs'!$I61="", "", I11/'DB-Properties'!$K$2)</f>
        <v/>
      </c>
      <c r="K11" s="2" t="str">
        <f>IF('Input-EWEMs'!$D61="", "",ROUND('Input-EWEMs'!M61,0))</f>
        <v/>
      </c>
      <c r="L11" s="2" t="str">
        <f>IF('Input-EWEMs'!$D61="", "",SUM(O11,R11))</f>
        <v/>
      </c>
      <c r="M11" s="2" t="str">
        <f>IF('Input-EWEMs'!$D61="", "",ROUND('Input-EWEMs'!N61,0))</f>
        <v/>
      </c>
      <c r="N11" s="2" t="str">
        <f>IF('Input-EWEMs'!$D61="", "",ROUND('Input-EWEMs'!O61,0))</f>
        <v/>
      </c>
      <c r="O11" s="2" t="str">
        <f>IF('Input-EWEMs'!$D61="", "",ROUND('Input-EWEMs'!P61,0))</f>
        <v/>
      </c>
      <c r="P11" s="2" t="str">
        <f>IF('Input-EWEMs'!$D61="", "",ROUND('Input-EWEMs'!Q61,0))</f>
        <v/>
      </c>
      <c r="Q11" s="2" t="str">
        <f>IF('Input-EWEMs'!$D61="", "",ROUND('Input-EWEMs'!R61,0))</f>
        <v/>
      </c>
      <c r="R11" s="2" t="str">
        <f>IF('Input-EWEMs'!$D61="", "",ROUND('Input-EWEMs'!S61,0))</f>
        <v/>
      </c>
      <c r="S11" s="2" t="str">
        <f>IF('Input-EWEMs'!$D61="", "",'Input-EWEMs'!X61)</f>
        <v/>
      </c>
      <c r="T11" s="2" t="str">
        <f>IF('Input-EWEMs'!$D61="", "",IFERROR(INDEX('Input-EWEMs'!$Y61:$Z61,MATCH("Natural Gas",'Input-EWEMs'!$Y$10:$Z$10,0)),0))</f>
        <v/>
      </c>
      <c r="U11" s="2" t="str">
        <f>IF('Input-EWEMs'!$D61="", "",IFERROR(INDEX('Input-EWEMs'!$Y61:$Z61,MATCH("Fuel Oil #2",'Input-EWEMs'!$Y$10:$Z$10,0)),0))</f>
        <v/>
      </c>
      <c r="V11" s="2" t="str">
        <f>IF('Input-EWEMs'!$D61="", "",IFERROR(INDEX('Input-EWEMs'!$Y61:$Z61,MATCH("Fuel Oil #4",'Input-EWEMs'!$Y$10:$Z$10,0)),0))</f>
        <v/>
      </c>
      <c r="W11" s="2" t="str">
        <f>IF('Input-EWEMs'!$D61="", "",IFERROR(INDEX('Input-EWEMs'!$Y61:$Z61,MATCH("Fuel Oil #6",'Input-EWEMs'!$Y$10:$Z$10,0)),0))</f>
        <v/>
      </c>
      <c r="X11" s="2" t="str">
        <f>IF('Input-EWEMs'!$D61="", "",IFERROR(INDEX('Input-EWEMs'!$Y61:$Z61,MATCH("District Steam",'Input-EWEMs'!$Y$10:$Z$10,0)),0))</f>
        <v/>
      </c>
      <c r="Y11" s="2" t="str">
        <f>IF('Input-EWEMs'!$D61="", "",IFERROR(INDEX('Input-EWEMs'!$Y61:$Z61,MATCH("Propane",'Input-EWEMs'!$Y$10:$Z$10,0)),0))</f>
        <v/>
      </c>
      <c r="Z11" s="2" t="str">
        <f>IF('Input-EWEMs'!$D61="", "",IFERROR(INDEX('Input-EWEMs'!$Y61:$Z61,MATCH("District Hot Water",'Input-EWEMs'!$Y$10:$Z$10,0)),0))</f>
        <v/>
      </c>
      <c r="AA11" s="2" t="str">
        <f>IF('Input-EWEMs'!$D61="", "",IFERROR(INDEX('Input-EWEMs'!$Y61:$Z61,MATCH("District Chilled Water",'Input-EWEMs'!$Y$10:$Z$10,0)),0))</f>
        <v/>
      </c>
      <c r="AB11" s="2" t="str">
        <f>IF('Input-EWEMs'!$D61="", "",IFERROR(INDEX('Input-EWEMs'!$Y61:$Z61,MATCH("Other",'Input-EWEMs'!$Y$10:$Z$10,0)),0))</f>
        <v/>
      </c>
      <c r="AC11" s="2" t="str">
        <f>IF('Input-EWEMs'!$D61="", "",'Input-EWEMs'!AA61)</f>
        <v/>
      </c>
      <c r="AD11" s="2" t="str">
        <f>IF('Input-EWEMs'!$D61="", "",IFERROR(INDEX('Input-EWEMs'!$AB61:$AC61,MATCH("Natural Gas",'Input-EWEMs'!$AB$10:$AC$10,0)),0))</f>
        <v/>
      </c>
      <c r="AE11" s="2" t="str">
        <f>IF('Input-EWEMs'!$D61="", "",IFERROR(INDEX('Input-EWEMs'!$AB61:$AC61,MATCH("Fuel Oil #2",'Input-EWEMs'!$AB$10:$AC$10,0)),0))</f>
        <v/>
      </c>
      <c r="AF11" s="2" t="str">
        <f>IF('Input-EWEMs'!$D61="", "",IFERROR(INDEX('Input-EWEMs'!$AB61:$AC61,MATCH("Fuel Oil #4",'Input-EWEMs'!$AB$10:$AC$10,0)),0))</f>
        <v/>
      </c>
      <c r="AG11" s="2" t="str">
        <f>IF('Input-EWEMs'!$D61="", "",IFERROR(INDEX('Input-EWEMs'!$AB61:$AC61,MATCH("Fuel Oil #6",'Input-EWEMs'!$AB$10:$AC$10,0)),0))</f>
        <v/>
      </c>
      <c r="AH11" s="2" t="str">
        <f>IF('Input-EWEMs'!$D61="", "",IFERROR(INDEX('Input-EWEMs'!$AB61:$AC61,MATCH("District Steam",'Input-EWEMs'!$AB$10:$AC$10,0)),0))</f>
        <v/>
      </c>
      <c r="AI11" s="2" t="str">
        <f>IF('Input-EWEMs'!$D61="", "",IFERROR(INDEX('Input-EWEMs'!$AB61:$AC61,MATCH("Propane",'Input-EWEMs'!$AB$10:$AC$10,0)),0))</f>
        <v/>
      </c>
      <c r="AJ11" s="2" t="str">
        <f>IF('Input-EWEMs'!$D61="", "",IFERROR(INDEX('Input-EWEMs'!$AB61:$AC61,MATCH("District Hot Water",'Input-EWEMs'!$AB$10:$AC$10,0)),0))</f>
        <v/>
      </c>
      <c r="AK11" s="2" t="str">
        <f>IF('Input-EWEMs'!$D61="", "",IFERROR(INDEX('Input-EWEMs'!$AB61:$AC61,MATCH("District Chilled Water",'Input-EWEMs'!$AB$10:$AC$10,0)),0))</f>
        <v/>
      </c>
      <c r="AL11" s="2" t="str">
        <f>IF('Input-EWEMs'!$D61="", "",IFERROR(INDEX('Input-EWEMs'!$AB61:$AC61,MATCH("Other",'Input-EWEMs'!$AB$10:$AC$10,0)),0))</f>
        <v/>
      </c>
      <c r="AM11" s="2" t="str">
        <f>IF('Input-EWEMs'!$D61="", "",SUM(S11:AB11))</f>
        <v/>
      </c>
      <c r="AN11" s="2" t="str">
        <f>IF('Input-EWEMs'!$D61="", "",SUM(AC11:AL11))</f>
        <v/>
      </c>
      <c r="AO11" s="2" t="str">
        <f>IF('Input-EWEMs'!$D61="", "",'Input-EWEMs'!AF61)</f>
        <v/>
      </c>
      <c r="AP11" s="2" t="str">
        <f>IF('Input-EWEMs'!$D61="", "",'Input-EWEMs'!AH61)</f>
        <v/>
      </c>
      <c r="AQ11" s="2" t="str">
        <f>IF('Input-EWEMs'!$D61="", "",IFERROR(AN11/SUM('DB-Utilities'!$M$2:$M$4),""))</f>
        <v/>
      </c>
      <c r="AR11" s="2" t="str">
        <f>IF('Input-EWEMs'!$D61="", "",'Input-EWEMs'!AJ61)</f>
        <v/>
      </c>
      <c r="AS11" s="2" t="str">
        <f>IF('Input-EWEMs'!$D61="", "",'Input-EWEMs'!AK61)</f>
        <v/>
      </c>
      <c r="AT11" s="2" t="str">
        <f t="shared" si="0"/>
        <v/>
      </c>
      <c r="AU11" s="2" t="str">
        <f>IF('Input-EWEMs'!$D61="", "",IFERROR('Input-EWEMs'!T61*INDEX(Assumptions!$H$6:$H$17,MATCH('Input-EWEMs'!T$11,Assumptions!$C$6:$C$17,0)),0)+IFERROR('Input-EWEMs'!U61*INDEX(Assumptions!$H$6:$H$17,MATCH('Input-EWEMs'!U$11,Assumptions!$C$6:$C$17,0)),0)+IFERROR('Input-EWEMs'!V61*INDEX(Assumptions!$H$6:$H$17,MATCH('Input-EWEMs'!V$11,Assumptions!$C$6:$C$17,0)),0))</f>
        <v/>
      </c>
      <c r="AV11" s="2" t="str">
        <f>IF('Input-EWEMs'!$D61="", "",ROUND('Input-EWEMs'!K61,0))</f>
        <v/>
      </c>
      <c r="AW11" s="2" t="str">
        <f>IF('Input-EWEMs'!$D61="", "",ROUND('Input-EWEMs'!L61,0))</f>
        <v/>
      </c>
    </row>
    <row r="12" spans="1:49" x14ac:dyDescent="0.2">
      <c r="L12" s="27"/>
      <c r="M12" s="27"/>
      <c r="N12" s="27"/>
      <c r="O12" s="27"/>
      <c r="P12" s="27"/>
      <c r="Q12" s="27"/>
      <c r="R12" s="27"/>
      <c r="AS12" s="27"/>
      <c r="AT12" s="27"/>
    </row>
  </sheetData>
  <pageMargins left="0.7" right="0.7" top="0.75" bottom="0.75" header="0.3" footer="0.3"/>
  <pageSetup orientation="portrait" verticalDpi="300" r:id="rId1"/>
  <headerFooter>
    <oddFooter>&amp;L_x000D_&amp;1#&amp;"Calibri"&amp;10&amp;K000000 Fannie Mae Confidential</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C000"/>
  </sheetPr>
  <dimension ref="A1:T9"/>
  <sheetViews>
    <sheetView topLeftCell="E1" zoomScaleNormal="100" workbookViewId="0">
      <selection activeCell="C4" sqref="C4:K4"/>
    </sheetView>
  </sheetViews>
  <sheetFormatPr baseColWidth="10" defaultColWidth="8.83203125" defaultRowHeight="15" x14ac:dyDescent="0.2"/>
  <cols>
    <col min="2" max="17" width="16.6640625" customWidth="1"/>
  </cols>
  <sheetData>
    <row r="1" spans="1:20" s="3" customFormat="1" x14ac:dyDescent="0.2">
      <c r="A1" s="66" t="s">
        <v>427</v>
      </c>
      <c r="B1" s="66" t="s">
        <v>573</v>
      </c>
      <c r="C1" s="66" t="s">
        <v>574</v>
      </c>
      <c r="D1" s="66" t="s">
        <v>575</v>
      </c>
      <c r="E1" s="66" t="s">
        <v>576</v>
      </c>
      <c r="F1" s="66" t="s">
        <v>577</v>
      </c>
      <c r="G1" s="66" t="s">
        <v>578</v>
      </c>
      <c r="H1" s="66" t="s">
        <v>579</v>
      </c>
      <c r="I1" s="66" t="s">
        <v>580</v>
      </c>
      <c r="J1" s="66" t="s">
        <v>581</v>
      </c>
      <c r="K1" s="66" t="s">
        <v>582</v>
      </c>
      <c r="L1" s="66" t="s">
        <v>583</v>
      </c>
      <c r="M1" s="66" t="s">
        <v>584</v>
      </c>
      <c r="N1" s="66" t="s">
        <v>585</v>
      </c>
      <c r="O1" s="66" t="s">
        <v>586</v>
      </c>
      <c r="P1" s="66" t="s">
        <v>587</v>
      </c>
      <c r="Q1" s="66" t="s">
        <v>588</v>
      </c>
      <c r="R1" s="66" t="s">
        <v>589</v>
      </c>
      <c r="S1" s="66" t="s">
        <v>590</v>
      </c>
      <c r="T1" s="66" t="s">
        <v>591</v>
      </c>
    </row>
    <row r="2" spans="1:20" x14ac:dyDescent="0.2">
      <c r="A2" s="2"/>
      <c r="B2" s="2" t="str">
        <f>IF('Input-Utilities'!C19="", "", 'Input-Utilities'!C19)</f>
        <v/>
      </c>
      <c r="C2" s="2" t="str">
        <f>IF('Input-Utilities'!D19="", "", 'Input-Utilities'!D19)</f>
        <v/>
      </c>
      <c r="D2" s="2" t="str">
        <f>IF('Input-Utilities'!E19="", "", 'Input-Utilities'!E19)</f>
        <v/>
      </c>
      <c r="E2" s="2" t="str">
        <f>IF('Input-Utilities'!G19="", "",IFERROR('Input-Utilities'!G19*INDEX(Assumptions!$D$6:$D$17,MATCH("kWh",Assumptions!$C$6:$C$17,0))/1000,""))</f>
        <v/>
      </c>
      <c r="F2" s="2" t="str">
        <f>IF('Input-Utilities'!I19="", "", IFERROR('Input-Utilities'!I19*INDEX(Assumptions!$D$6:$D$17,MATCH("kWh",Assumptions!$C$6:$C$17,0))/1000,""))</f>
        <v/>
      </c>
      <c r="G2" s="2" t="b">
        <v>0</v>
      </c>
      <c r="H2" s="2" t="b">
        <v>0</v>
      </c>
      <c r="I2" s="2" t="b">
        <v>0</v>
      </c>
      <c r="J2" s="2" t="b">
        <v>0</v>
      </c>
      <c r="K2" s="2" t="b">
        <v>0</v>
      </c>
      <c r="L2" s="2" t="str">
        <f>IF('Input-Solar'!G10="", "", 'Input-Solar'!G10)</f>
        <v/>
      </c>
      <c r="M2" s="2" t="str">
        <f>IF('Input-Solar'!F15="", "", 'Input-Solar'!F15)</f>
        <v>No</v>
      </c>
      <c r="N2" s="2" t="str">
        <f>IF('Input-Solar'!F21="", "", 'Input-Solar'!F21)</f>
        <v>Roof Mount</v>
      </c>
      <c r="O2" s="2">
        <f>IF('Input-Solar'!F22="", "", 'Input-Solar'!F22)</f>
        <v>850.8</v>
      </c>
      <c r="P2" s="2">
        <f>IF('Input-Solar'!F23="", "", IFERROR('Input-Solar'!F23*INDEX(Assumptions!$D$6:$D$17,MATCH("kWh",Assumptions!$C$6:$C$17,0))/1000,""))</f>
        <v>4816594.1560000004</v>
      </c>
      <c r="Q2" s="2">
        <f>IF('Input-Solar'!F12="", "", 'Input-Solar'!F12)</f>
        <v>20</v>
      </c>
      <c r="R2" s="2" t="str">
        <f>IF('Input-Solar'!F13="", "", 'Input-Solar'!F13)</f>
        <v>Shingle</v>
      </c>
      <c r="S2" s="2" t="str">
        <f>IF('Input-Solar'!F27="", "", 'Input-Solar'!F27)</f>
        <v>No</v>
      </c>
      <c r="T2" s="2" t="str">
        <f>IF('Input-Solar'!F28="", "", 'Input-Solar'!F28)</f>
        <v>No</v>
      </c>
    </row>
    <row r="6" spans="1:20" x14ac:dyDescent="0.2">
      <c r="S6" s="28"/>
    </row>
    <row r="9" spans="1:20" x14ac:dyDescent="0.2">
      <c r="G9" s="3"/>
      <c r="H9" s="3"/>
      <c r="I9" s="3"/>
      <c r="J9" s="3"/>
      <c r="K9" s="3"/>
      <c r="L9" s="3"/>
    </row>
  </sheetData>
  <pageMargins left="0.7" right="0.7" top="0.75" bottom="0.75" header="0.3" footer="0.3"/>
  <pageSetup orientation="portrait" r:id="rId1"/>
  <headerFooter>
    <oddFooter>&amp;L_x000D_&amp;1#&amp;"Calibri"&amp;10&amp;K000000 Fannie Mae Confidential&amp;CConfidential - Internal Distribution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pageSetUpPr autoPageBreaks="0"/>
  </sheetPr>
  <dimension ref="B1:AA78"/>
  <sheetViews>
    <sheetView showGridLines="0" zoomScale="90" zoomScaleNormal="90" workbookViewId="0"/>
  </sheetViews>
  <sheetFormatPr baseColWidth="10" defaultColWidth="9.33203125" defaultRowHeight="15" x14ac:dyDescent="0.2"/>
  <cols>
    <col min="1" max="1" width="2.5" style="109" customWidth="1"/>
    <col min="2" max="2" width="18.5" style="109" customWidth="1"/>
    <col min="3" max="3" width="6.33203125" style="110" customWidth="1"/>
    <col min="4" max="4" width="5.5" style="110" customWidth="1"/>
    <col min="5" max="5" width="17.6640625" style="109" customWidth="1"/>
    <col min="6" max="7" width="17.5" style="109" customWidth="1"/>
    <col min="8" max="9" width="7.33203125" style="109" customWidth="1"/>
    <col min="10" max="10" width="14.33203125" style="109" customWidth="1"/>
    <col min="11" max="15" width="12.33203125" style="109" customWidth="1"/>
    <col min="16" max="16" width="17.83203125" style="109" customWidth="1"/>
    <col min="17" max="19" width="12.33203125" style="109" hidden="1" customWidth="1"/>
    <col min="20" max="21" width="13" style="109" customWidth="1"/>
    <col min="22" max="22" width="12" style="109" customWidth="1"/>
    <col min="23" max="23" width="9.33203125" style="109" hidden="1" customWidth="1"/>
    <col min="24" max="25" width="9.33203125" hidden="1" customWidth="1"/>
    <col min="26" max="27" width="11.83203125" style="109" hidden="1" customWidth="1"/>
    <col min="28" max="16384" width="9.33203125" style="109"/>
  </cols>
  <sheetData>
    <row r="1" spans="2:27" s="92" customFormat="1" ht="23.25" customHeight="1" x14ac:dyDescent="0.2">
      <c r="B1" s="90" t="s">
        <v>1</v>
      </c>
      <c r="C1" s="91"/>
      <c r="D1" s="91"/>
      <c r="E1" s="91"/>
      <c r="F1" s="91"/>
      <c r="G1" s="91"/>
      <c r="H1" s="91"/>
      <c r="I1" s="91"/>
      <c r="J1" s="91"/>
      <c r="K1" s="91"/>
      <c r="L1" s="91"/>
      <c r="P1" s="91"/>
      <c r="Q1" s="91"/>
      <c r="R1" s="91"/>
      <c r="S1" s="91"/>
    </row>
    <row r="2" spans="2:27" s="92" customFormat="1" ht="40.5" customHeight="1" x14ac:dyDescent="0.3">
      <c r="B2" s="107" t="s">
        <v>36</v>
      </c>
      <c r="J2" s="91"/>
    </row>
    <row r="3" spans="2:27" s="92" customFormat="1" ht="21" customHeight="1" x14ac:dyDescent="0.2">
      <c r="B3" s="108" t="s">
        <v>37</v>
      </c>
      <c r="J3" s="91"/>
    </row>
    <row r="4" spans="2:27" s="92" customFormat="1" ht="18" customHeight="1" x14ac:dyDescent="0.2">
      <c r="B4" s="817" t="s">
        <v>38</v>
      </c>
      <c r="C4" s="817"/>
      <c r="D4" s="817"/>
      <c r="E4" s="817"/>
      <c r="F4" s="817"/>
      <c r="G4" s="817"/>
      <c r="H4" s="817"/>
      <c r="I4" s="817"/>
      <c r="J4" s="817"/>
      <c r="K4" s="817"/>
      <c r="L4" s="817"/>
      <c r="M4" s="817"/>
      <c r="N4" s="817"/>
      <c r="O4" s="817"/>
      <c r="P4" s="817"/>
      <c r="Q4" s="726"/>
      <c r="R4" s="726"/>
      <c r="S4" s="726"/>
      <c r="T4" s="726"/>
      <c r="U4" s="726"/>
      <c r="V4" s="726"/>
    </row>
    <row r="5" spans="2:27" s="92" customFormat="1" ht="36" customHeight="1" x14ac:dyDescent="0.2">
      <c r="B5" s="803" t="s">
        <v>39</v>
      </c>
      <c r="C5" s="803"/>
      <c r="D5" s="803"/>
      <c r="E5" s="803"/>
      <c r="F5" s="803"/>
      <c r="G5" s="803"/>
      <c r="H5" s="803"/>
      <c r="I5" s="803"/>
      <c r="J5" s="803"/>
      <c r="K5" s="803"/>
      <c r="L5" s="803"/>
      <c r="M5" s="803"/>
      <c r="N5" s="803"/>
      <c r="O5" s="739"/>
      <c r="P5" s="739"/>
      <c r="Q5" s="739"/>
      <c r="R5" s="739"/>
      <c r="S5" s="739"/>
      <c r="T5" s="739"/>
      <c r="U5" s="739"/>
      <c r="V5" s="739"/>
    </row>
    <row r="6" spans="2:27" s="92" customFormat="1" ht="18" customHeight="1" x14ac:dyDescent="0.2">
      <c r="B6" s="808" t="s">
        <v>40</v>
      </c>
      <c r="C6" s="808"/>
      <c r="D6" s="808"/>
      <c r="E6" s="808"/>
      <c r="F6" s="808"/>
      <c r="G6" s="808"/>
      <c r="H6" s="808"/>
      <c r="I6" s="808"/>
      <c r="J6" s="808"/>
      <c r="K6" s="808"/>
      <c r="L6" s="808"/>
      <c r="M6" s="808"/>
      <c r="N6" s="808"/>
      <c r="O6" s="808"/>
      <c r="P6" s="808"/>
      <c r="Q6" s="726"/>
      <c r="R6" s="726"/>
      <c r="S6" s="726"/>
      <c r="T6" s="726"/>
      <c r="U6" s="726"/>
      <c r="V6" s="726"/>
    </row>
    <row r="7" spans="2:27" s="92" customFormat="1" ht="18" customHeight="1" x14ac:dyDescent="0.2">
      <c r="B7" s="808" t="s">
        <v>41</v>
      </c>
      <c r="C7" s="808"/>
      <c r="D7" s="808"/>
      <c r="E7" s="808"/>
      <c r="F7" s="808"/>
      <c r="G7" s="808"/>
      <c r="H7" s="808"/>
      <c r="I7" s="808"/>
      <c r="J7" s="808"/>
      <c r="K7" s="808"/>
      <c r="L7" s="808"/>
      <c r="M7" s="808"/>
      <c r="N7" s="808"/>
      <c r="O7" s="808"/>
      <c r="P7" s="808"/>
      <c r="Q7" s="726"/>
      <c r="R7" s="726"/>
      <c r="S7" s="726"/>
      <c r="T7" s="726"/>
      <c r="U7" s="726"/>
      <c r="V7" s="726"/>
    </row>
    <row r="8" spans="2:27" ht="21.75" customHeight="1" x14ac:dyDescent="0.2"/>
    <row r="9" spans="2:27" ht="19" thickBot="1" x14ac:dyDescent="0.3">
      <c r="B9" s="111" t="s">
        <v>42</v>
      </c>
      <c r="C9" s="112"/>
      <c r="D9" s="112"/>
      <c r="E9" s="113"/>
      <c r="F9" s="113"/>
      <c r="G9" s="113"/>
      <c r="H9" s="113"/>
      <c r="I9" s="113"/>
      <c r="J9" s="113"/>
      <c r="K9" s="113"/>
      <c r="L9" s="113"/>
      <c r="M9" s="113"/>
      <c r="N9" s="113"/>
      <c r="O9" s="113"/>
      <c r="P9" s="113"/>
      <c r="Q9" s="113"/>
      <c r="R9" s="113"/>
      <c r="S9" s="113"/>
      <c r="T9" s="113"/>
      <c r="U9" s="113"/>
      <c r="V9" s="113"/>
      <c r="W9" s="113"/>
      <c r="X9" s="113"/>
      <c r="Y9" s="113"/>
      <c r="Z9" s="113"/>
      <c r="AA9" s="113"/>
    </row>
    <row r="10" spans="2:27" s="114" customFormat="1" ht="9.75" customHeight="1" x14ac:dyDescent="0.2">
      <c r="C10" s="115"/>
      <c r="D10" s="116"/>
    </row>
    <row r="11" spans="2:27" s="114" customFormat="1" ht="19.5" customHeight="1" x14ac:dyDescent="0.15">
      <c r="D11" s="117" t="s">
        <v>43</v>
      </c>
      <c r="E11" s="830" t="s">
        <v>1047</v>
      </c>
      <c r="F11" s="831"/>
      <c r="G11" s="832"/>
      <c r="H11" s="109"/>
      <c r="I11" s="109"/>
      <c r="J11" s="109"/>
      <c r="K11" s="109"/>
    </row>
    <row r="12" spans="2:27" ht="9" customHeight="1" x14ac:dyDescent="0.2">
      <c r="D12" s="118"/>
    </row>
    <row r="13" spans="2:27" ht="25.25" customHeight="1" x14ac:dyDescent="0.2">
      <c r="B13" s="836" t="s">
        <v>44</v>
      </c>
      <c r="C13" s="836"/>
      <c r="D13" s="837"/>
      <c r="E13" s="120" t="s">
        <v>749</v>
      </c>
    </row>
    <row r="14" spans="2:27" ht="19.75" customHeight="1" x14ac:dyDescent="0.2">
      <c r="B14" s="743"/>
      <c r="C14" s="743"/>
      <c r="D14" s="743"/>
      <c r="E14" s="632" t="s">
        <v>45</v>
      </c>
      <c r="F14" s="631"/>
    </row>
    <row r="15" spans="2:27" ht="9" customHeight="1" x14ac:dyDescent="0.2">
      <c r="D15" s="118"/>
    </row>
    <row r="16" spans="2:27" ht="20" customHeight="1" x14ac:dyDescent="0.2">
      <c r="D16" s="119" t="s">
        <v>46</v>
      </c>
      <c r="E16" s="120">
        <v>1</v>
      </c>
      <c r="F16" s="121" t="str">
        <f>IFERROR(" → "&amp;VLOOKUP(E16,Dropdowns!J3:K5,2,FALSE),"")</f>
        <v xml:space="preserve"> → No further review</v>
      </c>
    </row>
    <row r="17" spans="2:27" ht="9" customHeight="1" x14ac:dyDescent="0.2">
      <c r="D17" s="118"/>
    </row>
    <row r="18" spans="2:27" ht="20" customHeight="1" x14ac:dyDescent="0.2">
      <c r="D18" s="119" t="s">
        <v>47</v>
      </c>
      <c r="E18" s="833" t="s">
        <v>1048</v>
      </c>
      <c r="F18" s="832"/>
      <c r="G18" s="119" t="s">
        <v>48</v>
      </c>
      <c r="H18" s="827">
        <v>45260</v>
      </c>
      <c r="I18" s="828"/>
      <c r="J18" s="829"/>
    </row>
    <row r="19" spans="2:27" ht="21" customHeight="1" x14ac:dyDescent="0.2">
      <c r="B19" s="598" t="str">
        <f>IF(OR(COUNTIFS(B44:B73,"Yes",'DB-EWEM'!E2:E31,"*photovoltaic*")&gt;0, COUNTIFS(B44:B73,"Yes",'DB-EWEM'!D2:D31,"Distributed generation")&gt;0, E13="No"),"Pre-review required: Solar photovoltaic and/or distributed generation is selected for implementation OR HPB Consultant is not pre-qualified."&amp;" Please refer to the Multifamily Selling and Servicing Guide for further details.","")</f>
        <v>Pre-review required: Solar photovoltaic and/or distributed generation is selected for implementation OR HPB Consultant is not pre-qualified. Please refer to the Multifamily Selling and Servicing Guide for further details.</v>
      </c>
    </row>
    <row r="20" spans="2:27" ht="30.5" customHeight="1" thickBot="1" x14ac:dyDescent="0.3">
      <c r="B20" s="111" t="s">
        <v>49</v>
      </c>
      <c r="C20" s="112"/>
      <c r="D20" s="112"/>
      <c r="E20" s="113"/>
      <c r="F20" s="113"/>
      <c r="G20" s="113"/>
      <c r="H20" s="113"/>
      <c r="I20" s="113"/>
      <c r="J20" s="113"/>
      <c r="K20" s="113"/>
      <c r="L20" s="113"/>
      <c r="M20" s="113"/>
      <c r="N20" s="113"/>
      <c r="O20" s="113"/>
      <c r="P20" s="113"/>
      <c r="Q20" s="113"/>
      <c r="R20" s="113"/>
      <c r="S20" s="113"/>
      <c r="T20" s="113"/>
      <c r="U20" s="113"/>
      <c r="V20" s="113"/>
      <c r="W20" s="113"/>
      <c r="X20" s="113"/>
      <c r="Y20" s="113"/>
      <c r="Z20" s="113"/>
      <c r="AA20" s="113"/>
    </row>
    <row r="21" spans="2:27" x14ac:dyDescent="0.2">
      <c r="D21" s="109"/>
    </row>
    <row r="22" spans="2:27" ht="20" customHeight="1" x14ac:dyDescent="0.2">
      <c r="D22" s="119" t="s">
        <v>50</v>
      </c>
      <c r="E22" s="122">
        <f>T76</f>
        <v>0.73425788556113636</v>
      </c>
    </row>
    <row r="23" spans="2:27" ht="20" customHeight="1" x14ac:dyDescent="0.2">
      <c r="D23" s="119" t="s">
        <v>51</v>
      </c>
      <c r="E23" s="123">
        <f>V76</f>
        <v>0</v>
      </c>
    </row>
    <row r="24" spans="2:27" ht="20" customHeight="1" x14ac:dyDescent="0.2">
      <c r="D24" s="117" t="s">
        <v>52</v>
      </c>
      <c r="E24" s="124">
        <f>E22+E23</f>
        <v>0.73425788556113636</v>
      </c>
    </row>
    <row r="25" spans="2:27" x14ac:dyDescent="0.2">
      <c r="D25" s="125"/>
      <c r="E25" s="126"/>
    </row>
    <row r="26" spans="2:27" ht="20" customHeight="1" x14ac:dyDescent="0.2">
      <c r="D26" s="119" t="s">
        <v>53</v>
      </c>
      <c r="E26" s="127">
        <f>J76</f>
        <v>3519127</v>
      </c>
      <c r="F26" s="743" t="s">
        <v>54</v>
      </c>
      <c r="G26" s="597">
        <f>E26*1.25</f>
        <v>4398908.75</v>
      </c>
    </row>
    <row r="27" spans="2:27" ht="21" customHeight="1" x14ac:dyDescent="0.2">
      <c r="B27" s="598" t="str">
        <f>IF(EWEMQC!D22&lt;&gt;"","LENDER ALERT:  Total installed cost of selected EWEMs is less than $200/unit. Confirm costs with HPB Consultant on Check Errors tab: EWEMs, 'Total owner and tenant EWEM costs and savings.'","")</f>
        <v/>
      </c>
      <c r="D27" s="128"/>
    </row>
    <row r="28" spans="2:27" ht="30.5" customHeight="1" thickBot="1" x14ac:dyDescent="0.3">
      <c r="B28" s="111" t="s">
        <v>55</v>
      </c>
      <c r="C28" s="129"/>
      <c r="D28" s="129"/>
      <c r="E28" s="113"/>
      <c r="F28" s="113"/>
      <c r="G28" s="113"/>
      <c r="H28" s="113"/>
      <c r="I28" s="113"/>
      <c r="J28" s="113"/>
      <c r="K28" s="113"/>
      <c r="L28" s="113"/>
      <c r="M28" s="113"/>
      <c r="N28" s="113"/>
      <c r="O28" s="113"/>
      <c r="P28" s="113"/>
      <c r="Q28" s="113"/>
      <c r="R28" s="113"/>
      <c r="S28" s="113"/>
      <c r="T28" s="113"/>
      <c r="U28" s="113"/>
      <c r="V28" s="113"/>
      <c r="W28" s="113"/>
      <c r="X28" s="113"/>
      <c r="Y28" s="113"/>
      <c r="Z28" s="113"/>
      <c r="AA28" s="113"/>
    </row>
    <row r="29" spans="2:27" x14ac:dyDescent="0.2">
      <c r="D29" s="128"/>
    </row>
    <row r="30" spans="2:27" ht="16.25" customHeight="1" x14ac:dyDescent="0.2">
      <c r="D30" s="128"/>
      <c r="E30" s="130" t="s">
        <v>56</v>
      </c>
      <c r="F30" s="131" t="s">
        <v>57</v>
      </c>
    </row>
    <row r="31" spans="2:27" ht="20" customHeight="1" x14ac:dyDescent="0.2">
      <c r="D31" s="118" t="s">
        <v>58</v>
      </c>
      <c r="E31" s="132">
        <f>K76</f>
        <v>187304.84720165073</v>
      </c>
      <c r="F31" s="133">
        <f>N76</f>
        <v>0</v>
      </c>
    </row>
    <row r="32" spans="2:27" ht="20" customHeight="1" x14ac:dyDescent="0.2">
      <c r="D32" s="118" t="s">
        <v>59</v>
      </c>
      <c r="E32" s="134">
        <v>0.75</v>
      </c>
      <c r="F32" s="135">
        <f>IF(OR('Input-Utilities'!E24="Model",'Input-Utilities'!E25="Model",'Input-Utilities'!E26="Model"), 0, 0.25)</f>
        <v>0.25</v>
      </c>
    </row>
    <row r="33" spans="2:27" ht="20" customHeight="1" x14ac:dyDescent="0.2">
      <c r="B33" s="136"/>
      <c r="C33" s="137"/>
      <c r="D33" s="138" t="s">
        <v>60</v>
      </c>
      <c r="E33" s="139">
        <f>E31*E32</f>
        <v>140478.63540123805</v>
      </c>
      <c r="F33" s="140">
        <f>F31*F32</f>
        <v>0</v>
      </c>
    </row>
    <row r="34" spans="2:27" ht="20" customHeight="1" x14ac:dyDescent="0.2">
      <c r="D34" s="118" t="s">
        <v>61</v>
      </c>
      <c r="E34" s="141">
        <f>L76</f>
        <v>0</v>
      </c>
      <c r="F34" s="142">
        <f>O76</f>
        <v>0</v>
      </c>
    </row>
    <row r="35" spans="2:27" ht="20" customHeight="1" x14ac:dyDescent="0.2">
      <c r="D35" s="118" t="s">
        <v>59</v>
      </c>
      <c r="E35" s="134">
        <v>0.75</v>
      </c>
      <c r="F35" s="135">
        <f>IF('Input-Utilities'!E27="Model", 0, 0.25)</f>
        <v>0.25</v>
      </c>
    </row>
    <row r="36" spans="2:27" ht="20" customHeight="1" x14ac:dyDescent="0.2">
      <c r="B36" s="136"/>
      <c r="C36" s="137"/>
      <c r="D36" s="138" t="s">
        <v>62</v>
      </c>
      <c r="E36" s="139">
        <f>E34*E35</f>
        <v>0</v>
      </c>
      <c r="F36" s="140">
        <f>F34*F35</f>
        <v>0</v>
      </c>
    </row>
    <row r="37" spans="2:27" ht="20" customHeight="1" x14ac:dyDescent="0.2">
      <c r="D37" s="119" t="s">
        <v>63</v>
      </c>
      <c r="E37" s="143">
        <f>SUM(E33,E36)</f>
        <v>140478.63540123805</v>
      </c>
      <c r="F37" s="144">
        <f>SUM(F33,F36)</f>
        <v>0</v>
      </c>
    </row>
    <row r="38" spans="2:27" ht="20" customHeight="1" x14ac:dyDescent="0.2">
      <c r="D38" s="119" t="s">
        <v>64</v>
      </c>
      <c r="E38" s="818">
        <f>SUM(E37:F37)</f>
        <v>140478.63540123805</v>
      </c>
      <c r="F38" s="819"/>
      <c r="I38" s="119" t="s">
        <v>65</v>
      </c>
      <c r="J38" s="145">
        <v>140000</v>
      </c>
      <c r="L38" s="146" t="str">
        <f>IF(J38&gt;MROUND(E38,1)," → Actual Underwritten Cost Savings cannot be greater than the Total Allowable Cost Savings","")</f>
        <v/>
      </c>
    </row>
    <row r="39" spans="2:27" ht="15" customHeight="1" x14ac:dyDescent="0.2">
      <c r="C39" s="109"/>
      <c r="D39" s="109"/>
      <c r="F39" s="610"/>
    </row>
    <row r="40" spans="2:27" ht="23.25" customHeight="1" thickBot="1" x14ac:dyDescent="0.3">
      <c r="B40" s="111" t="s">
        <v>66</v>
      </c>
      <c r="C40" s="113"/>
      <c r="D40" s="113"/>
      <c r="E40" s="113"/>
      <c r="F40" s="113"/>
      <c r="G40" s="113"/>
      <c r="H40" s="113"/>
      <c r="I40" s="113"/>
      <c r="J40" s="113"/>
      <c r="K40" s="113"/>
      <c r="L40" s="113"/>
      <c r="M40" s="113"/>
      <c r="N40" s="113"/>
      <c r="O40" s="113"/>
      <c r="P40" s="113"/>
      <c r="Q40" s="113"/>
      <c r="R40" s="113"/>
      <c r="S40" s="113"/>
      <c r="T40" s="113"/>
      <c r="U40" s="113"/>
      <c r="V40" s="113"/>
      <c r="W40" s="113"/>
      <c r="X40" s="113"/>
      <c r="Y40" s="113"/>
      <c r="Z40" s="113"/>
      <c r="AA40" s="113"/>
    </row>
    <row r="41" spans="2:27" ht="12" customHeight="1" x14ac:dyDescent="0.25">
      <c r="C41" s="147"/>
      <c r="D41" s="147"/>
      <c r="E41" s="100"/>
      <c r="F41" s="100"/>
      <c r="G41" s="100"/>
      <c r="H41" s="100"/>
      <c r="I41" s="100"/>
      <c r="J41" s="100"/>
      <c r="X41" s="109"/>
      <c r="Y41" s="109"/>
    </row>
    <row r="42" spans="2:27" s="92" customFormat="1" ht="19.5" customHeight="1" x14ac:dyDescent="0.2">
      <c r="B42" s="811" t="s">
        <v>67</v>
      </c>
      <c r="C42" s="823" t="s">
        <v>68</v>
      </c>
      <c r="D42" s="824"/>
      <c r="E42" s="809" t="s">
        <v>69</v>
      </c>
      <c r="F42" s="815"/>
      <c r="G42" s="815"/>
      <c r="H42" s="815" t="s">
        <v>70</v>
      </c>
      <c r="I42" s="806" t="s">
        <v>71</v>
      </c>
      <c r="J42" s="834" t="s">
        <v>72</v>
      </c>
      <c r="K42" s="820" t="s">
        <v>73</v>
      </c>
      <c r="L42" s="821"/>
      <c r="M42" s="822"/>
      <c r="N42" s="820" t="s">
        <v>74</v>
      </c>
      <c r="O42" s="821"/>
      <c r="P42" s="822"/>
      <c r="Q42" s="130" t="s">
        <v>75</v>
      </c>
      <c r="R42" s="148" t="s">
        <v>76</v>
      </c>
      <c r="S42" s="131" t="s">
        <v>77</v>
      </c>
      <c r="T42" s="809" t="s">
        <v>50</v>
      </c>
      <c r="U42" s="815" t="s">
        <v>78</v>
      </c>
      <c r="V42" s="806" t="s">
        <v>51</v>
      </c>
      <c r="W42" s="109"/>
      <c r="Z42" s="806" t="s">
        <v>79</v>
      </c>
      <c r="AA42" s="806" t="s">
        <v>80</v>
      </c>
    </row>
    <row r="43" spans="2:27" s="92" customFormat="1" ht="15" customHeight="1" x14ac:dyDescent="0.2">
      <c r="B43" s="812"/>
      <c r="C43" s="825"/>
      <c r="D43" s="826"/>
      <c r="E43" s="810"/>
      <c r="F43" s="816"/>
      <c r="G43" s="816"/>
      <c r="H43" s="816"/>
      <c r="I43" s="807"/>
      <c r="J43" s="835"/>
      <c r="K43" s="130" t="s">
        <v>81</v>
      </c>
      <c r="L43" s="148" t="s">
        <v>82</v>
      </c>
      <c r="M43" s="131" t="s">
        <v>64</v>
      </c>
      <c r="N43" s="149" t="s">
        <v>81</v>
      </c>
      <c r="O43" s="148" t="s">
        <v>82</v>
      </c>
      <c r="P43" s="131" t="s">
        <v>64</v>
      </c>
      <c r="Q43" s="741" t="s">
        <v>83</v>
      </c>
      <c r="R43" s="742" t="s">
        <v>83</v>
      </c>
      <c r="S43" s="745" t="s">
        <v>84</v>
      </c>
      <c r="T43" s="810"/>
      <c r="U43" s="816"/>
      <c r="V43" s="807"/>
      <c r="W43" s="109"/>
      <c r="Z43" s="807"/>
      <c r="AA43" s="807"/>
    </row>
    <row r="44" spans="2:27" s="92" customFormat="1" ht="36" customHeight="1" x14ac:dyDescent="0.2">
      <c r="B44" s="150" t="s">
        <v>737</v>
      </c>
      <c r="C44" s="151">
        <v>1</v>
      </c>
      <c r="D44" s="152" t="str">
        <f>IF(IFERROR(MATCH($C44, 'Input-EWEMs'!$C$52:$C$61, 0),0)&gt;0,"adj.","")</f>
        <v/>
      </c>
      <c r="E44" s="813" t="str">
        <f>IF('Input-EWEMs'!F12="", "", IFERROR(INDEX('Input-EWEMs'!$F$52:$F$61, MATCH($C44, 'Input-EWEMs'!$C$52:$C$61, 0)),'Input-EWEMs'!F12))</f>
        <v>Install 129 ENERGY STAR-certified smart thermostats in apartments. Install one thermostat in the living room of each apartment unit.</v>
      </c>
      <c r="F44" s="814"/>
      <c r="G44" s="814"/>
      <c r="H44" s="688">
        <f>IF('Input-EWEMs'!D12="", "", IFERROR(INDEX('Input-EWEMs'!H$52:H$61, MATCH($C44, 'Input-EWEMs'!$C$52:$C$61, 0)),'Input-EWEMs'!H12))</f>
        <v>129</v>
      </c>
      <c r="I44" s="689">
        <f>IF('Input-EWEMs'!D12="", "", IFERROR(INDEX('Input-EWEMs'!I$52:I$61, MATCH($C44, 'Input-EWEMs'!$C$52:$C$61, 0)),'Input-EWEMs'!I12))</f>
        <v>129</v>
      </c>
      <c r="J44" s="153">
        <f>IF('Input-EWEMs'!M12="", "", IFERROR(INDEX('Input-EWEMs'!M$52:M$61, MATCH($C44, 'Input-EWEMs'!$C$52:$C$61, 0)),'Input-EWEMs'!M12))</f>
        <v>44080</v>
      </c>
      <c r="K44" s="154">
        <f>IF('Input-EWEMs'!N12="", "", IFERROR(INDEX('Input-EWEMs'!N$52:N$61, MATCH($C44, 'Input-EWEMs'!$C$52:$C$61, 0)),'Input-EWEMs'!N12))</f>
        <v>7612.474086294168</v>
      </c>
      <c r="L44" s="155">
        <f>IF('Input-EWEMs'!O12="", "", IFERROR(INDEX('Input-EWEMs'!O$52:O$61, MATCH($C44, 'Input-EWEMs'!$C$52:$C$61, 0)),'Input-EWEMs'!O12))</f>
        <v>0</v>
      </c>
      <c r="M44" s="156">
        <f>IF('Input-EWEMs'!P12="", "", IFERROR(INDEX('Input-EWEMs'!P$52:P$61, MATCH($C44, 'Input-EWEMs'!$C$52:$C$61, 0)),'Input-EWEMs'!P12))</f>
        <v>7612.474086294168</v>
      </c>
      <c r="N44" s="157">
        <f>IF('Input-EWEMs'!Q12="", "", IFERROR(INDEX('Input-EWEMs'!Q$52:Q$61, MATCH($C44, 'Input-EWEMs'!$C$52:$C$61, 0)),'Input-EWEMs'!Q12))</f>
        <v>0</v>
      </c>
      <c r="O44" s="155">
        <f>IF('Input-EWEMs'!R12="", "", IFERROR(INDEX('Input-EWEMs'!R$52:R$61, MATCH($C44, 'Input-EWEMs'!$C$52:$C$61, 0)),'Input-EWEMs'!R12))</f>
        <v>0</v>
      </c>
      <c r="P44" s="158">
        <f>IF('Input-EWEMs'!S12="", "", IFERROR(INDEX('Input-EWEMs'!S$52:S$61, MATCH($C44, 'Input-EWEMs'!$C$52:$C$61, 0)),'Input-EWEMs'!S12))</f>
        <v>0</v>
      </c>
      <c r="Q44" s="159">
        <f>IF('Input-EWEMs'!AD12="", "", IFERROR(INDEX('Input-EWEMs'!AD$52:AD$61, MATCH($C44, 'Input-EWEMs'!$C$52:$C$61, 0)),'Input-EWEMs'!AD12))</f>
        <v>258970.96400000001</v>
      </c>
      <c r="R44" s="160">
        <f>IF('Input-EWEMs'!AE12="", "", IFERROR(INDEX('Input-EWEMs'!AE$52:AE$61, MATCH($C44, 'Input-EWEMs'!$C$52:$C$61, 0)),'Input-EWEMs'!AE12))</f>
        <v>690468.69920000003</v>
      </c>
      <c r="S44" s="161">
        <f>IF('Input-EWEMs'!AF12="", "", IFERROR(INDEX('Input-EWEMs'!AF$52:AF$61, MATCH($C44, 'Input-EWEMs'!$C$52:$C$61, 0)),'Input-EWEMs'!AF12))</f>
        <v>0</v>
      </c>
      <c r="T44" s="732">
        <f>IF('Input-EWEMs'!AH12="", "", IFERROR(INDEX('Input-EWEMs'!AH$52:AH$61, MATCH($C44, 'Input-EWEMs'!$C$52:$C$61, 0)),'Input-EWEMs'!AH12))</f>
        <v>3.0528780967432192E-2</v>
      </c>
      <c r="U44" s="733">
        <f>IF('Input-EWEMs'!AI12="", "", IFERROR(INDEX('Input-EWEMs'!AI$52:AI$61, MATCH($C44, 'Input-EWEMs'!$C$52:$C$61, 0)),'Input-EWEMs'!AI12))</f>
        <v>3.3810926766221383E-2</v>
      </c>
      <c r="V44" s="163">
        <f>IF('Input-EWEMs'!AJ12="", "", IFERROR(INDEX('Input-EWEMs'!AJ$52:AJ$61, MATCH($C44, 'Input-EWEMs'!$C$52:$C$61, 0)),'Input-EWEMs'!AJ12))</f>
        <v>0</v>
      </c>
      <c r="W44" s="109">
        <f>IF(B44="Yes",COUNTIF(B$44:B44,"Yes"),"")</f>
        <v>1</v>
      </c>
      <c r="X44" s="92" t="b">
        <f>IF(B44="Yes",MROUND(Z44,1)=MROUND(1.25*J44,1),"")</f>
        <v>1</v>
      </c>
      <c r="Y44" s="92" t="b">
        <f>IF(B44="Yes",AA44="12 months","")</f>
        <v>1</v>
      </c>
      <c r="Z44" s="697">
        <f t="shared" ref="Z44:Z73" si="0">IF(B44="Yes",IF(J44="","",MROUND(1.25*J44,1)),"")</f>
        <v>55100</v>
      </c>
      <c r="AA44" s="698" t="str">
        <f>IF(B44="Yes","12 months","")</f>
        <v>12 months</v>
      </c>
    </row>
    <row r="45" spans="2:27" s="92" customFormat="1" ht="36" customHeight="1" x14ac:dyDescent="0.2">
      <c r="B45" s="150" t="s">
        <v>737</v>
      </c>
      <c r="C45" s="164">
        <v>2</v>
      </c>
      <c r="D45" s="165" t="str">
        <f>IF(IFERROR(MATCH($C45, 'Input-EWEMs'!$C$52:$C$61, 0),0)&gt;0,"adj.","")</f>
        <v/>
      </c>
      <c r="E45" s="804" t="str">
        <f>IF('Input-EWEMs'!F13="", "", IFERROR(INDEX('Input-EWEMs'!$F$52:$F$61, MATCH($C45, 'Input-EWEMs'!$C$52:$C$61, 0)),'Input-EWEMs'!F13))</f>
        <v>Install high efficiency heat pumps (10 HSPF, 16 SEER) in apartments to replace existing furnaces and AC units. Equipment must be ENERGY STAR-certified.</v>
      </c>
      <c r="F45" s="805"/>
      <c r="G45" s="805"/>
      <c r="H45" s="688">
        <f>IF('Input-EWEMs'!D13="", "", IFERROR(INDEX('Input-EWEMs'!H$52:H$61, MATCH($C45, 'Input-EWEMs'!$C$52:$C$61, 0)),'Input-EWEMs'!H13))</f>
        <v>129</v>
      </c>
      <c r="I45" s="689">
        <f>IF('Input-EWEMs'!D13="", "", IFERROR(INDEX('Input-EWEMs'!I$52:I$61, MATCH($C45, 'Input-EWEMs'!$C$52:$C$61, 0)),'Input-EWEMs'!I13))</f>
        <v>129</v>
      </c>
      <c r="J45" s="153">
        <f>IF('Input-EWEMs'!M13="", "", IFERROR(INDEX('Input-EWEMs'!M$52:M$61, MATCH($C45, 'Input-EWEMs'!$C$52:$C$61, 0)),'Input-EWEMs'!M13))</f>
        <v>608000</v>
      </c>
      <c r="K45" s="154">
        <f>IF('Input-EWEMs'!N13="", "", IFERROR(INDEX('Input-EWEMs'!N$52:N$61, MATCH($C45, 'Input-EWEMs'!$C$52:$C$61, 0)),'Input-EWEMs'!N13))</f>
        <v>11513.076616260234</v>
      </c>
      <c r="L45" s="155">
        <f>IF('Input-EWEMs'!O13="", "", IFERROR(INDEX('Input-EWEMs'!O$52:O$61, MATCH($C45, 'Input-EWEMs'!$C$52:$C$61, 0)),'Input-EWEMs'!O13))</f>
        <v>0</v>
      </c>
      <c r="M45" s="158">
        <f>IF('Input-EWEMs'!P13="", "", IFERROR(INDEX('Input-EWEMs'!P$52:P$61, MATCH($C45, 'Input-EWEMs'!$C$52:$C$61, 0)),'Input-EWEMs'!P13))</f>
        <v>11513.076616260234</v>
      </c>
      <c r="N45" s="157">
        <f>IF('Input-EWEMs'!Q13="", "", IFERROR(INDEX('Input-EWEMs'!Q$52:Q$61, MATCH($C45, 'Input-EWEMs'!$C$52:$C$61, 0)),'Input-EWEMs'!Q13))</f>
        <v>0</v>
      </c>
      <c r="O45" s="155">
        <f>IF('Input-EWEMs'!R13="", "", IFERROR(INDEX('Input-EWEMs'!R$52:R$61, MATCH($C45, 'Input-EWEMs'!$C$52:$C$61, 0)),'Input-EWEMs'!R13))</f>
        <v>0</v>
      </c>
      <c r="P45" s="158">
        <f>IF('Input-EWEMs'!S13="", "", IFERROR(INDEX('Input-EWEMs'!S$52:S$61, MATCH($C45, 'Input-EWEMs'!$C$52:$C$61, 0)),'Input-EWEMs'!S13))</f>
        <v>0</v>
      </c>
      <c r="Q45" s="159">
        <f>IF('Input-EWEMs'!AD13="", "", IFERROR(INDEX('Input-EWEMs'!AD$52:AD$61, MATCH($C45, 'Input-EWEMs'!$C$52:$C$61, 0)),'Input-EWEMs'!AD13))</f>
        <v>500497.08</v>
      </c>
      <c r="R45" s="160">
        <f>IF('Input-EWEMs'!AE13="", "", IFERROR(INDEX('Input-EWEMs'!AE$52:AE$61, MATCH($C45, 'Input-EWEMs'!$C$52:$C$61, 0)),'Input-EWEMs'!AE13))</f>
        <v>1018666.824</v>
      </c>
      <c r="S45" s="161">
        <f>IF('Input-EWEMs'!AF13="", "", IFERROR(INDEX('Input-EWEMs'!AF$52:AF$61, MATCH($C45, 'Input-EWEMs'!$C$52:$C$61, 0)),'Input-EWEMs'!AF13))</f>
        <v>0</v>
      </c>
      <c r="T45" s="162">
        <f>IF('Input-EWEMs'!AH13="", "", IFERROR(INDEX('Input-EWEMs'!AH$52:AH$61, MATCH($C45, 'Input-EWEMs'!$C$52:$C$61, 0)),'Input-EWEMs'!AH13))</f>
        <v>5.9001076777701562E-2</v>
      </c>
      <c r="U45" s="734">
        <f>IF('Input-EWEMs'!AI13="", "", IFERROR(INDEX('Input-EWEMs'!AI$52:AI$61, MATCH($C45, 'Input-EWEMs'!$C$52:$C$61, 0)),'Input-EWEMs'!AI13))</f>
        <v>5.2732602544724366E-2</v>
      </c>
      <c r="V45" s="163">
        <f>IF('Input-EWEMs'!AJ13="", "", IFERROR(INDEX('Input-EWEMs'!AJ$52:AJ$61, MATCH($C45, 'Input-EWEMs'!$C$52:$C$61, 0)),'Input-EWEMs'!AJ13))</f>
        <v>0</v>
      </c>
      <c r="W45" s="109">
        <f>IF(B45="Yes",COUNTIF(B$44:B45,"Yes"),"")</f>
        <v>2</v>
      </c>
      <c r="X45" s="92" t="b">
        <f t="shared" ref="X45:X73" si="1">IF(B45="Yes",MROUND(Z45,1)=MROUND(1.25*J45,1),"")</f>
        <v>1</v>
      </c>
      <c r="Y45" s="92" t="b">
        <f t="shared" ref="Y45:Y73" si="2">IF(B45="Yes",AA45="12 months","")</f>
        <v>1</v>
      </c>
      <c r="Z45" s="604">
        <f t="shared" si="0"/>
        <v>760000</v>
      </c>
      <c r="AA45" s="699" t="str">
        <f t="shared" ref="AA45:AA73" si="3">IF(B45="Yes","12 months","")</f>
        <v>12 months</v>
      </c>
    </row>
    <row r="46" spans="2:27" s="92" customFormat="1" ht="36" customHeight="1" x14ac:dyDescent="0.2">
      <c r="B46" s="150" t="s">
        <v>749</v>
      </c>
      <c r="C46" s="164">
        <v>3</v>
      </c>
      <c r="D46" s="165" t="str">
        <f>IF(IFERROR(MATCH($C46, 'Input-EWEMs'!$C$52:$C$61, 0),0)&gt;0,"adj.","")</f>
        <v/>
      </c>
      <c r="E46" s="804" t="str">
        <f>IF('Input-EWEMs'!F14="", "", IFERROR(INDEX('Input-EWEMs'!$F$52:$F$61, MATCH($C46, 'Input-EWEMs'!$C$52:$C$61, 0)),'Input-EWEMs'!F14))</f>
        <v>Insulate all exposed hot water piping located in the basement mechanical rooms, using foam insulation with an R-value of 3 or above.</v>
      </c>
      <c r="F46" s="805"/>
      <c r="G46" s="805"/>
      <c r="H46" s="688">
        <f>IF('Input-EWEMs'!D14="", "", IFERROR(INDEX('Input-EWEMs'!H$52:H$61, MATCH($C46, 'Input-EWEMs'!$C$52:$C$61, 0)),'Input-EWEMs'!H14))</f>
        <v>0</v>
      </c>
      <c r="I46" s="689">
        <f>IF('Input-EWEMs'!D14="", "", IFERROR(INDEX('Input-EWEMs'!I$52:I$61, MATCH($C46, 'Input-EWEMs'!$C$52:$C$61, 0)),'Input-EWEMs'!I14))</f>
        <v>0</v>
      </c>
      <c r="J46" s="153">
        <f>IF('Input-EWEMs'!M14="", "", IFERROR(INDEX('Input-EWEMs'!M$52:M$61, MATCH($C46, 'Input-EWEMs'!$C$52:$C$61, 0)),'Input-EWEMs'!M14))</f>
        <v>3750</v>
      </c>
      <c r="K46" s="154">
        <f>IF('Input-EWEMs'!N14="", "", IFERROR(INDEX('Input-EWEMs'!N$52:N$61, MATCH($C46, 'Input-EWEMs'!$C$52:$C$61, 0)),'Input-EWEMs'!N14))</f>
        <v>1337.2281171847087</v>
      </c>
      <c r="L46" s="155">
        <f>IF('Input-EWEMs'!O14="", "", IFERROR(INDEX('Input-EWEMs'!O$52:O$61, MATCH($C46, 'Input-EWEMs'!$C$52:$C$61, 0)),'Input-EWEMs'!O14))</f>
        <v>0</v>
      </c>
      <c r="M46" s="158">
        <f>IF('Input-EWEMs'!P14="", "", IFERROR(INDEX('Input-EWEMs'!P$52:P$61, MATCH($C46, 'Input-EWEMs'!$C$52:$C$61, 0)),'Input-EWEMs'!P14))</f>
        <v>1337.2281171847087</v>
      </c>
      <c r="N46" s="157">
        <f>IF('Input-EWEMs'!Q14="", "", IFERROR(INDEX('Input-EWEMs'!Q$52:Q$61, MATCH($C46, 'Input-EWEMs'!$C$52:$C$61, 0)),'Input-EWEMs'!Q14))</f>
        <v>0</v>
      </c>
      <c r="O46" s="155">
        <f>IF('Input-EWEMs'!R14="", "", IFERROR(INDEX('Input-EWEMs'!R$52:R$61, MATCH($C46, 'Input-EWEMs'!$C$52:$C$61, 0)),'Input-EWEMs'!R14))</f>
        <v>0</v>
      </c>
      <c r="P46" s="158">
        <f>IF('Input-EWEMs'!S14="", "", IFERROR(INDEX('Input-EWEMs'!S$52:S$61, MATCH($C46, 'Input-EWEMs'!$C$52:$C$61, 0)),'Input-EWEMs'!S14))</f>
        <v>0</v>
      </c>
      <c r="Q46" s="159">
        <f>IF('Input-EWEMs'!AD14="", "", IFERROR(INDEX('Input-EWEMs'!AD$52:AD$61, MATCH($C46, 'Input-EWEMs'!$C$52:$C$61, 0)),'Input-EWEMs'!AD14))</f>
        <v>102700</v>
      </c>
      <c r="R46" s="160">
        <f>IF('Input-EWEMs'!AE14="", "", IFERROR(INDEX('Input-EWEMs'!AE$52:AE$61, MATCH($C46, 'Input-EWEMs'!$C$52:$C$61, 0)),'Input-EWEMs'!AE14))</f>
        <v>107835</v>
      </c>
      <c r="S46" s="161">
        <f>IF('Input-EWEMs'!AF14="", "", IFERROR(INDEX('Input-EWEMs'!AF$52:AF$61, MATCH($C46, 'Input-EWEMs'!$C$52:$C$61, 0)),'Input-EWEMs'!AF14))</f>
        <v>0</v>
      </c>
      <c r="T46" s="162">
        <f>IF('Input-EWEMs'!AH14="", "", IFERROR(INDEX('Input-EWEMs'!AH$52:AH$61, MATCH($C46, 'Input-EWEMs'!$C$52:$C$61, 0)),'Input-EWEMs'!AH14))</f>
        <v>1.2106785088676143E-2</v>
      </c>
      <c r="U46" s="734">
        <f>IF('Input-EWEMs'!AI14="", "", IFERROR(INDEX('Input-EWEMs'!AI$52:AI$61, MATCH($C46, 'Input-EWEMs'!$C$52:$C$61, 0)),'Input-EWEMs'!AI14))</f>
        <v>6.7788546252436164E-3</v>
      </c>
      <c r="V46" s="163">
        <f>IF('Input-EWEMs'!AJ14="", "", IFERROR(INDEX('Input-EWEMs'!AJ$52:AJ$61, MATCH($C46, 'Input-EWEMs'!$C$52:$C$61, 0)),'Input-EWEMs'!AJ14))</f>
        <v>0</v>
      </c>
      <c r="W46" s="109" t="str">
        <f>IF(B46="Yes",COUNTIF(B$44:B46,"Yes"),"")</f>
        <v/>
      </c>
      <c r="X46" s="92" t="str">
        <f t="shared" si="1"/>
        <v/>
      </c>
      <c r="Y46" s="92" t="str">
        <f t="shared" si="2"/>
        <v/>
      </c>
      <c r="Z46" s="604" t="str">
        <f t="shared" si="0"/>
        <v/>
      </c>
      <c r="AA46" s="699" t="str">
        <f t="shared" si="3"/>
        <v/>
      </c>
    </row>
    <row r="47" spans="2:27" s="92" customFormat="1" ht="36" customHeight="1" x14ac:dyDescent="0.2">
      <c r="B47" s="150" t="s">
        <v>737</v>
      </c>
      <c r="C47" s="164">
        <v>4</v>
      </c>
      <c r="D47" s="165" t="str">
        <f>IF(IFERROR(MATCH($C47, 'Input-EWEMs'!$C$52:$C$61, 0),0)&gt;0,"adj.","")</f>
        <v/>
      </c>
      <c r="E47" s="804" t="str">
        <f>IF('Input-EWEMs'!F15="", "", IFERROR(INDEX('Input-EWEMs'!$F$52:$F$61, MATCH($C47, 'Input-EWEMs'!$C$52:$C$61, 0)),'Input-EWEMs'!F15))</f>
        <v xml:space="preserve">Upgrade non-LED lighting in all apartments to LED. Refer to HPB report for replacement lighting specifications. </v>
      </c>
      <c r="F47" s="805"/>
      <c r="G47" s="805"/>
      <c r="H47" s="688">
        <f>IF('Input-EWEMs'!D15="", "", IFERROR(INDEX('Input-EWEMs'!H$52:H$61, MATCH($C47, 'Input-EWEMs'!$C$52:$C$61, 0)),'Input-EWEMs'!H15))</f>
        <v>500</v>
      </c>
      <c r="I47" s="689">
        <f>IF('Input-EWEMs'!D15="", "", IFERROR(INDEX('Input-EWEMs'!I$52:I$61, MATCH($C47, 'Input-EWEMs'!$C$52:$C$61, 0)),'Input-EWEMs'!I15))</f>
        <v>129</v>
      </c>
      <c r="J47" s="153">
        <f>IF('Input-EWEMs'!M15="", "", IFERROR(INDEX('Input-EWEMs'!M$52:M$61, MATCH($C47, 'Input-EWEMs'!$C$52:$C$61, 0)),'Input-EWEMs'!M15))</f>
        <v>49970</v>
      </c>
      <c r="K47" s="154">
        <f>IF('Input-EWEMs'!N15="", "", IFERROR(INDEX('Input-EWEMs'!N$52:N$61, MATCH($C47, 'Input-EWEMs'!$C$52:$C$61, 0)),'Input-EWEMs'!N15))</f>
        <v>11497.268911149706</v>
      </c>
      <c r="L47" s="155">
        <f>IF('Input-EWEMs'!O15="", "", IFERROR(INDEX('Input-EWEMs'!O$52:O$61, MATCH($C47, 'Input-EWEMs'!$C$52:$C$61, 0)),'Input-EWEMs'!O15))</f>
        <v>0</v>
      </c>
      <c r="M47" s="158">
        <f>IF('Input-EWEMs'!P15="", "", IFERROR(INDEX('Input-EWEMs'!P$52:P$61, MATCH($C47, 'Input-EWEMs'!$C$52:$C$61, 0)),'Input-EWEMs'!P15))</f>
        <v>11497.268911149706</v>
      </c>
      <c r="N47" s="157">
        <f>IF('Input-EWEMs'!Q15="", "", IFERROR(INDEX('Input-EWEMs'!Q$52:Q$61, MATCH($C47, 'Input-EWEMs'!$C$52:$C$61, 0)),'Input-EWEMs'!Q15))</f>
        <v>0</v>
      </c>
      <c r="O47" s="155">
        <f>IF('Input-EWEMs'!R15="", "", IFERROR(INDEX('Input-EWEMs'!R$52:R$61, MATCH($C47, 'Input-EWEMs'!$C$52:$C$61, 0)),'Input-EWEMs'!R15))</f>
        <v>0</v>
      </c>
      <c r="P47" s="158">
        <f>IF('Input-EWEMs'!S15="", "", IFERROR(INDEX('Input-EWEMs'!S$52:S$61, MATCH($C47, 'Input-EWEMs'!$C$52:$C$61, 0)),'Input-EWEMs'!S15))</f>
        <v>0</v>
      </c>
      <c r="Q47" s="159">
        <f>IF('Input-EWEMs'!AD15="", "", IFERROR(INDEX('Input-EWEMs'!AD$52:AD$61, MATCH($C47, 'Input-EWEMs'!$C$52:$C$61, 0)),'Input-EWEMs'!AD15))</f>
        <v>373886.96</v>
      </c>
      <c r="R47" s="160">
        <f>IF('Input-EWEMs'!AE15="", "", IFERROR(INDEX('Input-EWEMs'!AE$52:AE$61, MATCH($C47, 'Input-EWEMs'!$C$52:$C$61, 0)),'Input-EWEMs'!AE15))</f>
        <v>1046883.488</v>
      </c>
      <c r="S47" s="161">
        <f>IF('Input-EWEMs'!AF15="", "", IFERROR(INDEX('Input-EWEMs'!AF$52:AF$61, MATCH($C47, 'Input-EWEMs'!$C$52:$C$61, 0)),'Input-EWEMs'!AF15))</f>
        <v>0</v>
      </c>
      <c r="T47" s="162">
        <f>IF('Input-EWEMs'!AH15="", "", IFERROR(INDEX('Input-EWEMs'!AH$52:AH$61, MATCH($C47, 'Input-EWEMs'!$C$52:$C$61, 0)),'Input-EWEMs'!AH15))</f>
        <v>4.4075648219848627E-2</v>
      </c>
      <c r="U47" s="734">
        <f>IF('Input-EWEMs'!AI15="", "", IFERROR(INDEX('Input-EWEMs'!AI$52:AI$61, MATCH($C47, 'Input-EWEMs'!$C$52:$C$61, 0)),'Input-EWEMs'!AI15))</f>
        <v>5.0812279857204365E-2</v>
      </c>
      <c r="V47" s="163">
        <f>IF('Input-EWEMs'!AJ15="", "", IFERROR(INDEX('Input-EWEMs'!AJ$52:AJ$61, MATCH($C47, 'Input-EWEMs'!$C$52:$C$61, 0)),'Input-EWEMs'!AJ15))</f>
        <v>0</v>
      </c>
      <c r="W47" s="109">
        <f>IF(B47="Yes",COUNTIF(B$44:B47,"Yes"),"")</f>
        <v>3</v>
      </c>
      <c r="X47" s="92" t="b">
        <f t="shared" si="1"/>
        <v>1</v>
      </c>
      <c r="Y47" s="92" t="b">
        <f t="shared" si="2"/>
        <v>1</v>
      </c>
      <c r="Z47" s="604">
        <f t="shared" si="0"/>
        <v>62463</v>
      </c>
      <c r="AA47" s="699" t="str">
        <f t="shared" si="3"/>
        <v>12 months</v>
      </c>
    </row>
    <row r="48" spans="2:27" s="92" customFormat="1" ht="36" customHeight="1" x14ac:dyDescent="0.2">
      <c r="B48" s="150" t="s">
        <v>749</v>
      </c>
      <c r="C48" s="164">
        <v>5</v>
      </c>
      <c r="D48" s="165" t="str">
        <f>IF(IFERROR(MATCH($C48, 'Input-EWEMs'!$C$52:$C$61, 0),0)&gt;0,"adj.","")</f>
        <v/>
      </c>
      <c r="E48" s="804" t="str">
        <f>IF('Input-EWEMs'!F16="", "", IFERROR(INDEX('Input-EWEMs'!$F$52:$F$61, MATCH($C48, 'Input-EWEMs'!$C$52:$C$61, 0)),'Input-EWEMs'!F16))</f>
        <v xml:space="preserve">Upgrade all lighting in building common areas and exterior to LED. Refer to HPB report for replacement lighting specifications. </v>
      </c>
      <c r="F48" s="805"/>
      <c r="G48" s="805"/>
      <c r="H48" s="688">
        <f>IF('Input-EWEMs'!D16="", "", IFERROR(INDEX('Input-EWEMs'!H$52:H$61, MATCH($C48, 'Input-EWEMs'!$C$52:$C$61, 0)),'Input-EWEMs'!H16))</f>
        <v>500</v>
      </c>
      <c r="I48" s="689">
        <f>IF('Input-EWEMs'!D16="", "", IFERROR(INDEX('Input-EWEMs'!I$52:I$61, MATCH($C48, 'Input-EWEMs'!$C$52:$C$61, 0)),'Input-EWEMs'!I16))</f>
        <v>0</v>
      </c>
      <c r="J48" s="153">
        <f>IF('Input-EWEMs'!M16="", "", IFERROR(INDEX('Input-EWEMs'!M$52:M$61, MATCH($C48, 'Input-EWEMs'!$C$52:$C$61, 0)),'Input-EWEMs'!M16))</f>
        <v>40075</v>
      </c>
      <c r="K48" s="154">
        <f>IF('Input-EWEMs'!N16="", "", IFERROR(INDEX('Input-EWEMs'!N$52:N$61, MATCH($C48, 'Input-EWEMs'!$C$52:$C$61, 0)),'Input-EWEMs'!N16))</f>
        <v>5475.4195601136944</v>
      </c>
      <c r="L48" s="155">
        <f>IF('Input-EWEMs'!O16="", "", IFERROR(INDEX('Input-EWEMs'!O$52:O$61, MATCH($C48, 'Input-EWEMs'!$C$52:$C$61, 0)),'Input-EWEMs'!O16))</f>
        <v>0</v>
      </c>
      <c r="M48" s="158">
        <f>IF('Input-EWEMs'!P16="", "", IFERROR(INDEX('Input-EWEMs'!P$52:P$61, MATCH($C48, 'Input-EWEMs'!$C$52:$C$61, 0)),'Input-EWEMs'!P16))</f>
        <v>5475.4195601136944</v>
      </c>
      <c r="N48" s="157">
        <f>IF('Input-EWEMs'!Q16="", "", IFERROR(INDEX('Input-EWEMs'!Q$52:Q$61, MATCH($C48, 'Input-EWEMs'!$C$52:$C$61, 0)),'Input-EWEMs'!Q16))</f>
        <v>0</v>
      </c>
      <c r="O48" s="155">
        <f>IF('Input-EWEMs'!R16="", "", IFERROR(INDEX('Input-EWEMs'!R$52:R$61, MATCH($C48, 'Input-EWEMs'!$C$52:$C$61, 0)),'Input-EWEMs'!R16))</f>
        <v>0</v>
      </c>
      <c r="P48" s="158">
        <f>IF('Input-EWEMs'!S16="", "", IFERROR(INDEX('Input-EWEMs'!S$52:S$61, MATCH($C48, 'Input-EWEMs'!$C$52:$C$61, 0)),'Input-EWEMs'!S16))</f>
        <v>0</v>
      </c>
      <c r="Q48" s="159">
        <f>IF('Input-EWEMs'!AD16="", "", IFERROR(INDEX('Input-EWEMs'!AD$52:AD$61, MATCH($C48, 'Input-EWEMs'!$C$52:$C$61, 0)),'Input-EWEMs'!AD16))</f>
        <v>178058.63200000001</v>
      </c>
      <c r="R48" s="160">
        <f>IF('Input-EWEMs'!AE16="", "", IFERROR(INDEX('Input-EWEMs'!AE$52:AE$61, MATCH($C48, 'Input-EWEMs'!$C$52:$C$61, 0)),'Input-EWEMs'!AE16))</f>
        <v>498564.16960000002</v>
      </c>
      <c r="S48" s="161">
        <f>IF('Input-EWEMs'!AF16="", "", IFERROR(INDEX('Input-EWEMs'!AF$52:AF$61, MATCH($C48, 'Input-EWEMs'!$C$52:$C$61, 0)),'Input-EWEMs'!AF16))</f>
        <v>0</v>
      </c>
      <c r="T48" s="162">
        <f>IF('Input-EWEMs'!AH16="", "", IFERROR(INDEX('Input-EWEMs'!AH$52:AH$61, MATCH($C48, 'Input-EWEMs'!$C$52:$C$61, 0)),'Input-EWEMs'!AH16))</f>
        <v>2.0990434185079579E-2</v>
      </c>
      <c r="U48" s="734">
        <f>IF('Input-EWEMs'!AI16="", "", IFERROR(INDEX('Input-EWEMs'!AI$52:AI$61, MATCH($C48, 'Input-EWEMs'!$C$52:$C$61, 0)),'Input-EWEMs'!AI16))</f>
        <v>2.4198664324037847E-2</v>
      </c>
      <c r="V48" s="163">
        <f>IF('Input-EWEMs'!AJ16="", "", IFERROR(INDEX('Input-EWEMs'!AJ$52:AJ$61, MATCH($C48, 'Input-EWEMs'!$C$52:$C$61, 0)),'Input-EWEMs'!AJ16))</f>
        <v>0</v>
      </c>
      <c r="W48" s="109" t="str">
        <f>IF(B48="Yes",COUNTIF(B$44:B48,"Yes"),"")</f>
        <v/>
      </c>
      <c r="X48" s="92" t="str">
        <f t="shared" si="1"/>
        <v/>
      </c>
      <c r="Y48" s="92" t="str">
        <f t="shared" si="2"/>
        <v/>
      </c>
      <c r="Z48" s="604" t="str">
        <f t="shared" si="0"/>
        <v/>
      </c>
      <c r="AA48" s="699" t="str">
        <f t="shared" si="3"/>
        <v/>
      </c>
    </row>
    <row r="49" spans="2:27" s="92" customFormat="1" ht="36" customHeight="1" x14ac:dyDescent="0.2">
      <c r="B49" s="150" t="s">
        <v>749</v>
      </c>
      <c r="C49" s="164">
        <v>6</v>
      </c>
      <c r="D49" s="165" t="str">
        <f>IF(IFERROR(MATCH($C49, 'Input-EWEMs'!$C$52:$C$61, 0),0)&gt;0,"adj.","")</f>
        <v/>
      </c>
      <c r="E49" s="804" t="str">
        <f>IF('Input-EWEMs'!F17="", "", IFERROR(INDEX('Input-EWEMs'!$F$52:$F$61, MATCH($C49, 'Input-EWEMs'!$C$52:$C$61, 0)),'Input-EWEMs'!F17))</f>
        <v>Add occupancy sensor controls to the offices, club room, and bathrooms, in the rental office building and all laundry rooms.</v>
      </c>
      <c r="F49" s="805"/>
      <c r="G49" s="805"/>
      <c r="H49" s="688">
        <f>IF('Input-EWEMs'!D17="", "", IFERROR(INDEX('Input-EWEMs'!H$52:H$61, MATCH($C49, 'Input-EWEMs'!$C$52:$C$61, 0)),'Input-EWEMs'!H17))</f>
        <v>20</v>
      </c>
      <c r="I49" s="689">
        <f>IF('Input-EWEMs'!D17="", "", IFERROR(INDEX('Input-EWEMs'!I$52:I$61, MATCH($C49, 'Input-EWEMs'!$C$52:$C$61, 0)),'Input-EWEMs'!I17))</f>
        <v>0</v>
      </c>
      <c r="J49" s="153">
        <f>IF('Input-EWEMs'!M17="", "", IFERROR(INDEX('Input-EWEMs'!M$52:M$61, MATCH($C49, 'Input-EWEMs'!$C$52:$C$61, 0)),'Input-EWEMs'!M17))</f>
        <v>6000</v>
      </c>
      <c r="K49" s="154">
        <f>IF('Input-EWEMs'!N17="", "", IFERROR(INDEX('Input-EWEMs'!N$52:N$61, MATCH($C49, 'Input-EWEMs'!$C$52:$C$61, 0)),'Input-EWEMs'!N17))</f>
        <v>378.03120904245657</v>
      </c>
      <c r="L49" s="155">
        <f>IF('Input-EWEMs'!O17="", "", IFERROR(INDEX('Input-EWEMs'!O$52:O$61, MATCH($C49, 'Input-EWEMs'!$C$52:$C$61, 0)),'Input-EWEMs'!O17))</f>
        <v>0</v>
      </c>
      <c r="M49" s="158">
        <f>IF('Input-EWEMs'!P17="", "", IFERROR(INDEX('Input-EWEMs'!P$52:P$61, MATCH($C49, 'Input-EWEMs'!$C$52:$C$61, 0)),'Input-EWEMs'!P17))</f>
        <v>378.03120904245657</v>
      </c>
      <c r="N49" s="157">
        <f>IF('Input-EWEMs'!Q17="", "", IFERROR(INDEX('Input-EWEMs'!Q$52:Q$61, MATCH($C49, 'Input-EWEMs'!$C$52:$C$61, 0)),'Input-EWEMs'!Q17))</f>
        <v>0</v>
      </c>
      <c r="O49" s="155">
        <f>IF('Input-EWEMs'!R17="", "", IFERROR(INDEX('Input-EWEMs'!R$52:R$61, MATCH($C49, 'Input-EWEMs'!$C$52:$C$61, 0)),'Input-EWEMs'!R17))</f>
        <v>0</v>
      </c>
      <c r="P49" s="158">
        <f>IF('Input-EWEMs'!S17="", "", IFERROR(INDEX('Input-EWEMs'!S$52:S$61, MATCH($C49, 'Input-EWEMs'!$C$52:$C$61, 0)),'Input-EWEMs'!S17))</f>
        <v>0</v>
      </c>
      <c r="Q49" s="159">
        <f>IF('Input-EWEMs'!AD17="", "", IFERROR(INDEX('Input-EWEMs'!AD$52:AD$61, MATCH($C49, 'Input-EWEMs'!$C$52:$C$61, 0)),'Input-EWEMs'!AD17))</f>
        <v>12293.436</v>
      </c>
      <c r="R49" s="160">
        <f>IF('Input-EWEMs'!AE17="", "", IFERROR(INDEX('Input-EWEMs'!AE$52:AE$61, MATCH($C49, 'Input-EWEMs'!$C$52:$C$61, 0)),'Input-EWEMs'!AE17))</f>
        <v>34421.620799999997</v>
      </c>
      <c r="S49" s="161">
        <f>IF('Input-EWEMs'!AF17="", "", IFERROR(INDEX('Input-EWEMs'!AF$52:AF$61, MATCH($C49, 'Input-EWEMs'!$C$52:$C$61, 0)),'Input-EWEMs'!AF17))</f>
        <v>0</v>
      </c>
      <c r="T49" s="162">
        <f>IF('Input-EWEMs'!AH17="", "", IFERROR(INDEX('Input-EWEMs'!AH$52:AH$61, MATCH($C49, 'Input-EWEMs'!$C$52:$C$61, 0)),'Input-EWEMs'!AH17))</f>
        <v>1.4492111748139677E-3</v>
      </c>
      <c r="U49" s="734">
        <f>IF('Input-EWEMs'!AI17="", "", IFERROR(INDEX('Input-EWEMs'!AI$52:AI$61, MATCH($C49, 'Input-EWEMs'!$C$52:$C$61, 0)),'Input-EWEMs'!AI17))</f>
        <v>1.6707122132278459E-3</v>
      </c>
      <c r="V49" s="163">
        <f>IF('Input-EWEMs'!AJ17="", "", IFERROR(INDEX('Input-EWEMs'!AJ$52:AJ$61, MATCH($C49, 'Input-EWEMs'!$C$52:$C$61, 0)),'Input-EWEMs'!AJ17))</f>
        <v>0</v>
      </c>
      <c r="W49" s="109" t="str">
        <f>IF(B49="Yes",COUNTIF(B$44:B49,"Yes"),"")</f>
        <v/>
      </c>
      <c r="X49" s="92" t="str">
        <f t="shared" si="1"/>
        <v/>
      </c>
      <c r="Y49" s="92" t="str">
        <f t="shared" si="2"/>
        <v/>
      </c>
      <c r="Z49" s="604" t="str">
        <f t="shared" si="0"/>
        <v/>
      </c>
      <c r="AA49" s="699" t="str">
        <f t="shared" si="3"/>
        <v/>
      </c>
    </row>
    <row r="50" spans="2:27" s="92" customFormat="1" ht="36" customHeight="1" x14ac:dyDescent="0.2">
      <c r="B50" s="150" t="s">
        <v>749</v>
      </c>
      <c r="C50" s="164">
        <v>7</v>
      </c>
      <c r="D50" s="165" t="str">
        <f>IF(IFERROR(MATCH($C50, 'Input-EWEMs'!$C$52:$C$61, 0),0)&gt;0,"adj.","")</f>
        <v/>
      </c>
      <c r="E50" s="804" t="str">
        <f>IF('Input-EWEMs'!F18="", "", IFERROR(INDEX('Input-EWEMs'!$F$52:$F$61, MATCH($C50, 'Input-EWEMs'!$C$52:$C$61, 0)),'Input-EWEMs'!F18))</f>
        <v>Replace all 129 apartment refrigerators with ENERGY STAR-certified models.</v>
      </c>
      <c r="F50" s="805"/>
      <c r="G50" s="805"/>
      <c r="H50" s="688">
        <f>IF('Input-EWEMs'!D18="", "", IFERROR(INDEX('Input-EWEMs'!H$52:H$61, MATCH($C50, 'Input-EWEMs'!$C$52:$C$61, 0)),'Input-EWEMs'!H18))</f>
        <v>129</v>
      </c>
      <c r="I50" s="689">
        <f>IF('Input-EWEMs'!D18="", "", IFERROR(INDEX('Input-EWEMs'!I$52:I$61, MATCH($C50, 'Input-EWEMs'!$C$52:$C$61, 0)),'Input-EWEMs'!I18))</f>
        <v>129</v>
      </c>
      <c r="J50" s="153">
        <f>IF('Input-EWEMs'!M18="", "", IFERROR(INDEX('Input-EWEMs'!M$52:M$61, MATCH($C50, 'Input-EWEMs'!$C$52:$C$61, 0)),'Input-EWEMs'!M18))</f>
        <v>60000</v>
      </c>
      <c r="K50" s="154">
        <f>IF('Input-EWEMs'!N18="", "", IFERROR(INDEX('Input-EWEMs'!N$52:N$61, MATCH($C50, 'Input-EWEMs'!$C$52:$C$61, 0)),'Input-EWEMs'!N18))</f>
        <v>2067.7876957559629</v>
      </c>
      <c r="L50" s="155">
        <f>IF('Input-EWEMs'!O18="", "", IFERROR(INDEX('Input-EWEMs'!O$52:O$61, MATCH($C50, 'Input-EWEMs'!$C$52:$C$61, 0)),'Input-EWEMs'!O18))</f>
        <v>0</v>
      </c>
      <c r="M50" s="158">
        <f>IF('Input-EWEMs'!P18="", "", IFERROR(INDEX('Input-EWEMs'!P$52:P$61, MATCH($C50, 'Input-EWEMs'!$C$52:$C$61, 0)),'Input-EWEMs'!P18))</f>
        <v>2067.7876957559629</v>
      </c>
      <c r="N50" s="157">
        <f>IF('Input-EWEMs'!Q18="", "", IFERROR(INDEX('Input-EWEMs'!Q$52:Q$61, MATCH($C50, 'Input-EWEMs'!$C$52:$C$61, 0)),'Input-EWEMs'!Q18))</f>
        <v>0</v>
      </c>
      <c r="O50" s="155">
        <f>IF('Input-EWEMs'!R18="", "", IFERROR(INDEX('Input-EWEMs'!R$52:R$61, MATCH($C50, 'Input-EWEMs'!$C$52:$C$61, 0)),'Input-EWEMs'!R18))</f>
        <v>0</v>
      </c>
      <c r="P50" s="158">
        <f>IF('Input-EWEMs'!S18="", "", IFERROR(INDEX('Input-EWEMs'!S$52:S$61, MATCH($C50, 'Input-EWEMs'!$C$52:$C$61, 0)),'Input-EWEMs'!S18))</f>
        <v>0</v>
      </c>
      <c r="Q50" s="159">
        <f>IF('Input-EWEMs'!AD18="", "", IFERROR(INDEX('Input-EWEMs'!AD$52:AD$61, MATCH($C50, 'Input-EWEMs'!$C$52:$C$61, 0)),'Input-EWEMs'!AD18))</f>
        <v>67243.695999999996</v>
      </c>
      <c r="R50" s="160">
        <f>IF('Input-EWEMs'!AE18="", "", IFERROR(INDEX('Input-EWEMs'!AE$52:AE$61, MATCH($C50, 'Input-EWEMs'!$C$52:$C$61, 0)),'Input-EWEMs'!AE18))</f>
        <v>188282.34879999998</v>
      </c>
      <c r="S50" s="161">
        <f>IF('Input-EWEMs'!AF18="", "", IFERROR(INDEX('Input-EWEMs'!AF$52:AF$61, MATCH($C50, 'Input-EWEMs'!$C$52:$C$61, 0)),'Input-EWEMs'!AF18))</f>
        <v>0</v>
      </c>
      <c r="T50" s="162">
        <f>IF('Input-EWEMs'!AH18="", "", IFERROR(INDEX('Input-EWEMs'!AH$52:AH$61, MATCH($C50, 'Input-EWEMs'!$C$52:$C$61, 0)),'Input-EWEMs'!AH18))</f>
        <v>7.9270202146082911E-3</v>
      </c>
      <c r="U50" s="734">
        <f>IF('Input-EWEMs'!AI18="", "", IFERROR(INDEX('Input-EWEMs'!AI$52:AI$61, MATCH($C50, 'Input-EWEMs'!$C$52:$C$61, 0)),'Input-EWEMs'!AI18))</f>
        <v>9.1386056892296379E-3</v>
      </c>
      <c r="V50" s="163">
        <f>IF('Input-EWEMs'!AJ18="", "", IFERROR(INDEX('Input-EWEMs'!AJ$52:AJ$61, MATCH($C50, 'Input-EWEMs'!$C$52:$C$61, 0)),'Input-EWEMs'!AJ18))</f>
        <v>0</v>
      </c>
      <c r="W50" s="109" t="str">
        <f>IF(B50="Yes",COUNTIF(B$44:B50,"Yes"),"")</f>
        <v/>
      </c>
      <c r="X50" s="92" t="str">
        <f t="shared" si="1"/>
        <v/>
      </c>
      <c r="Y50" s="92" t="str">
        <f t="shared" si="2"/>
        <v/>
      </c>
      <c r="Z50" s="604" t="str">
        <f t="shared" si="0"/>
        <v/>
      </c>
      <c r="AA50" s="699" t="str">
        <f t="shared" si="3"/>
        <v/>
      </c>
    </row>
    <row r="51" spans="2:27" s="92" customFormat="1" ht="36" customHeight="1" x14ac:dyDescent="0.2">
      <c r="B51" s="150" t="s">
        <v>749</v>
      </c>
      <c r="C51" s="164">
        <v>8</v>
      </c>
      <c r="D51" s="165" t="str">
        <f>IF(IFERROR(MATCH($C51, 'Input-EWEMs'!$C$52:$C$61, 0),0)&gt;0,"adj.","")</f>
        <v/>
      </c>
      <c r="E51" s="804" t="str">
        <f>IF('Input-EWEMs'!F19="", "", IFERROR(INDEX('Input-EWEMs'!$F$52:$F$61, MATCH($C51, 'Input-EWEMs'!$C$52:$C$61, 0)),'Input-EWEMs'!F19))</f>
        <v>Replace all 129 apartment dishwashers with ENERGY STAR-certified models.</v>
      </c>
      <c r="F51" s="805"/>
      <c r="G51" s="805"/>
      <c r="H51" s="688">
        <f>IF('Input-EWEMs'!D19="", "", IFERROR(INDEX('Input-EWEMs'!H$52:H$61, MATCH($C51, 'Input-EWEMs'!$C$52:$C$61, 0)),'Input-EWEMs'!H19))</f>
        <v>129</v>
      </c>
      <c r="I51" s="689">
        <f>IF('Input-EWEMs'!D19="", "", IFERROR(INDEX('Input-EWEMs'!I$52:I$61, MATCH($C51, 'Input-EWEMs'!$C$52:$C$61, 0)),'Input-EWEMs'!I19))</f>
        <v>129</v>
      </c>
      <c r="J51" s="153">
        <f>IF('Input-EWEMs'!M19="", "", IFERROR(INDEX('Input-EWEMs'!M$52:M$61, MATCH($C51, 'Input-EWEMs'!$C$52:$C$61, 0)),'Input-EWEMs'!M19))</f>
        <v>113200</v>
      </c>
      <c r="K51" s="154">
        <f>IF('Input-EWEMs'!N19="", "", IFERROR(INDEX('Input-EWEMs'!N$52:N$61, MATCH($C51, 'Input-EWEMs'!$C$52:$C$61, 0)),'Input-EWEMs'!N19))</f>
        <v>406.04517873835886</v>
      </c>
      <c r="L51" s="155">
        <f>IF('Input-EWEMs'!O19="", "", IFERROR(INDEX('Input-EWEMs'!O$52:O$61, MATCH($C51, 'Input-EWEMs'!$C$52:$C$61, 0)),'Input-EWEMs'!O19))</f>
        <v>0</v>
      </c>
      <c r="M51" s="158">
        <f>IF('Input-EWEMs'!P19="", "", IFERROR(INDEX('Input-EWEMs'!P$52:P$61, MATCH($C51, 'Input-EWEMs'!$C$52:$C$61, 0)),'Input-EWEMs'!P19))</f>
        <v>406.04517873835886</v>
      </c>
      <c r="N51" s="157">
        <f>IF('Input-EWEMs'!Q19="", "", IFERROR(INDEX('Input-EWEMs'!Q$52:Q$61, MATCH($C51, 'Input-EWEMs'!$C$52:$C$61, 0)),'Input-EWEMs'!Q19))</f>
        <v>0</v>
      </c>
      <c r="O51" s="155">
        <f>IF('Input-EWEMs'!R19="", "", IFERROR(INDEX('Input-EWEMs'!R$52:R$61, MATCH($C51, 'Input-EWEMs'!$C$52:$C$61, 0)),'Input-EWEMs'!R19))</f>
        <v>355.63354261879243</v>
      </c>
      <c r="P51" s="158">
        <f>IF('Input-EWEMs'!S19="", "", IFERROR(INDEX('Input-EWEMs'!S$52:S$61, MATCH($C51, 'Input-EWEMs'!$C$52:$C$61, 0)),'Input-EWEMs'!S19))</f>
        <v>355.63354261879243</v>
      </c>
      <c r="Q51" s="159">
        <f>IF('Input-EWEMs'!AD19="", "", IFERROR(INDEX('Input-EWEMs'!AD$52:AD$61, MATCH($C51, 'Input-EWEMs'!$C$52:$C$61, 0)),'Input-EWEMs'!AD19))</f>
        <v>13204.44</v>
      </c>
      <c r="R51" s="160">
        <f>IF('Input-EWEMs'!AE19="", "", IFERROR(INDEX('Input-EWEMs'!AE$52:AE$61, MATCH($C51, 'Input-EWEMs'!$C$52:$C$61, 0)),'Input-EWEMs'!AE19))</f>
        <v>36972.432000000001</v>
      </c>
      <c r="S51" s="161">
        <f>IF('Input-EWEMs'!AF19="", "", IFERROR(INDEX('Input-EWEMs'!AF$52:AF$61, MATCH($C51, 'Input-EWEMs'!$C$52:$C$61, 0)),'Input-EWEMs'!AF19))</f>
        <v>80</v>
      </c>
      <c r="T51" s="162">
        <f>IF('Input-EWEMs'!AH19="", "", IFERROR(INDEX('Input-EWEMs'!AH$52:AH$61, MATCH($C51, 'Input-EWEMs'!$C$52:$C$61, 0)),'Input-EWEMs'!AH19))</f>
        <v>1.5566048422231628E-3</v>
      </c>
      <c r="U51" s="734">
        <f>IF('Input-EWEMs'!AI19="", "", IFERROR(INDEX('Input-EWEMs'!AI$52:AI$61, MATCH($C51, 'Input-EWEMs'!$C$52:$C$61, 0)),'Input-EWEMs'!AI19))</f>
        <v>1.7945201957234981E-3</v>
      </c>
      <c r="V51" s="163">
        <f>IF('Input-EWEMs'!AJ19="", "", IFERROR(INDEX('Input-EWEMs'!AJ$52:AJ$61, MATCH($C51, 'Input-EWEMs'!$C$52:$C$61, 0)),'Input-EWEMs'!AJ19))</f>
        <v>1.047431083617209E-2</v>
      </c>
      <c r="W51" s="109" t="str">
        <f>IF(B51="Yes",COUNTIF(B$44:B51,"Yes"),"")</f>
        <v/>
      </c>
      <c r="X51" s="92" t="str">
        <f t="shared" si="1"/>
        <v/>
      </c>
      <c r="Y51" s="92" t="str">
        <f t="shared" si="2"/>
        <v/>
      </c>
      <c r="Z51" s="604" t="str">
        <f t="shared" si="0"/>
        <v/>
      </c>
      <c r="AA51" s="699" t="str">
        <f t="shared" si="3"/>
        <v/>
      </c>
    </row>
    <row r="52" spans="2:27" s="92" customFormat="1" ht="36" customHeight="1" x14ac:dyDescent="0.2">
      <c r="B52" s="150" t="s">
        <v>749</v>
      </c>
      <c r="C52" s="164">
        <v>9</v>
      </c>
      <c r="D52" s="165" t="str">
        <f>IF(IFERROR(MATCH($C52, 'Input-EWEMs'!$C$52:$C$61, 0),0)&gt;0,"adj.","")</f>
        <v/>
      </c>
      <c r="E52" s="804" t="str">
        <f>IF('Input-EWEMs'!F20="", "", IFERROR(INDEX('Input-EWEMs'!$F$52:$F$61, MATCH($C52, 'Input-EWEMs'!$C$52:$C$61, 0)),'Input-EWEMs'!F20))</f>
        <v>Install 235 low-flow 1.0 GPM WaterSense-certified bathroom faucet aerators.</v>
      </c>
      <c r="F52" s="805"/>
      <c r="G52" s="805"/>
      <c r="H52" s="688">
        <f>IF('Input-EWEMs'!D20="", "", IFERROR(INDEX('Input-EWEMs'!H$52:H$61, MATCH($C52, 'Input-EWEMs'!$C$52:$C$61, 0)),'Input-EWEMs'!H20))</f>
        <v>235</v>
      </c>
      <c r="I52" s="689">
        <f>IF('Input-EWEMs'!D20="", "", IFERROR(INDEX('Input-EWEMs'!I$52:I$61, MATCH($C52, 'Input-EWEMs'!$C$52:$C$61, 0)),'Input-EWEMs'!I20))</f>
        <v>129</v>
      </c>
      <c r="J52" s="153">
        <f>IF('Input-EWEMs'!M20="", "", IFERROR(INDEX('Input-EWEMs'!M$52:M$61, MATCH($C52, 'Input-EWEMs'!$C$52:$C$61, 0)),'Input-EWEMs'!M20))</f>
        <v>2851</v>
      </c>
      <c r="K52" s="154">
        <f>IF('Input-EWEMs'!N20="", "", IFERROR(INDEX('Input-EWEMs'!N$52:N$61, MATCH($C52, 'Input-EWEMs'!$C$52:$C$61, 0)),'Input-EWEMs'!N20))</f>
        <v>997.38728117184701</v>
      </c>
      <c r="L52" s="155">
        <f>IF('Input-EWEMs'!O20="", "", IFERROR(INDEX('Input-EWEMs'!O$52:O$61, MATCH($C52, 'Input-EWEMs'!$C$52:$C$61, 0)),'Input-EWEMs'!O20))</f>
        <v>0</v>
      </c>
      <c r="M52" s="158">
        <f>IF('Input-EWEMs'!P20="", "", IFERROR(INDEX('Input-EWEMs'!P$52:P$61, MATCH($C52, 'Input-EWEMs'!$C$52:$C$61, 0)),'Input-EWEMs'!P20))</f>
        <v>997.38728117184701</v>
      </c>
      <c r="N52" s="157">
        <f>IF('Input-EWEMs'!Q20="", "", IFERROR(INDEX('Input-EWEMs'!Q$52:Q$61, MATCH($C52, 'Input-EWEMs'!$C$52:$C$61, 0)),'Input-EWEMs'!Q20))</f>
        <v>0</v>
      </c>
      <c r="O52" s="155">
        <f>IF('Input-EWEMs'!R20="", "", IFERROR(INDEX('Input-EWEMs'!R$52:R$61, MATCH($C52, 'Input-EWEMs'!$C$52:$C$61, 0)),'Input-EWEMs'!R20))</f>
        <v>1111.3548206837265</v>
      </c>
      <c r="P52" s="158">
        <f>IF('Input-EWEMs'!S20="", "", IFERROR(INDEX('Input-EWEMs'!S$52:S$61, MATCH($C52, 'Input-EWEMs'!$C$52:$C$61, 0)),'Input-EWEMs'!S20))</f>
        <v>1111.3548206837265</v>
      </c>
      <c r="Q52" s="159">
        <f>IF('Input-EWEMs'!AD20="", "", IFERROR(INDEX('Input-EWEMs'!AD$52:AD$61, MATCH($C52, 'Input-EWEMs'!$C$52:$C$61, 0)),'Input-EWEMs'!AD20))</f>
        <v>76600</v>
      </c>
      <c r="R52" s="160">
        <f>IF('Input-EWEMs'!AE20="", "", IFERROR(INDEX('Input-EWEMs'!AE$52:AE$61, MATCH($C52, 'Input-EWEMs'!$C$52:$C$61, 0)),'Input-EWEMs'!AE20))</f>
        <v>80430</v>
      </c>
      <c r="S52" s="161">
        <f>IF('Input-EWEMs'!AF20="", "", IFERROR(INDEX('Input-EWEMs'!AF$52:AF$61, MATCH($C52, 'Input-EWEMs'!$C$52:$C$61, 0)),'Input-EWEMs'!AF20))</f>
        <v>250</v>
      </c>
      <c r="T52" s="162">
        <f>IF('Input-EWEMs'!AH20="", "", IFERROR(INDEX('Input-EWEMs'!AH$52:AH$61, MATCH($C52, 'Input-EWEMs'!$C$52:$C$61, 0)),'Input-EWEMs'!AH20))</f>
        <v>9.0299877097623424E-3</v>
      </c>
      <c r="U52" s="734">
        <f>IF('Input-EWEMs'!AI20="", "", IFERROR(INDEX('Input-EWEMs'!AI$52:AI$61, MATCH($C52, 'Input-EWEMs'!$C$52:$C$61, 0)),'Input-EWEMs'!AI20))</f>
        <v>5.0560882599188029E-3</v>
      </c>
      <c r="V52" s="163">
        <f>IF('Input-EWEMs'!AJ20="", "", IFERROR(INDEX('Input-EWEMs'!AJ$52:AJ$61, MATCH($C52, 'Input-EWEMs'!$C$52:$C$61, 0)),'Input-EWEMs'!AJ20))</f>
        <v>3.2732221363037779E-2</v>
      </c>
      <c r="W52" s="109" t="str">
        <f>IF(B52="Yes",COUNTIF(B$44:B52,"Yes"),"")</f>
        <v/>
      </c>
      <c r="X52" s="92" t="str">
        <f t="shared" si="1"/>
        <v/>
      </c>
      <c r="Y52" s="92" t="str">
        <f t="shared" si="2"/>
        <v/>
      </c>
      <c r="Z52" s="604" t="str">
        <f t="shared" si="0"/>
        <v/>
      </c>
      <c r="AA52" s="699" t="str">
        <f t="shared" si="3"/>
        <v/>
      </c>
    </row>
    <row r="53" spans="2:27" s="92" customFormat="1" ht="36" customHeight="1" x14ac:dyDescent="0.2">
      <c r="B53" s="150" t="s">
        <v>749</v>
      </c>
      <c r="C53" s="164">
        <v>10</v>
      </c>
      <c r="D53" s="165" t="str">
        <f>IF(IFERROR(MATCH($C53, 'Input-EWEMs'!$C$52:$C$61, 0),0)&gt;0,"adj.","")</f>
        <v/>
      </c>
      <c r="E53" s="804" t="str">
        <f>IF('Input-EWEMs'!F21="", "", IFERROR(INDEX('Input-EWEMs'!$F$52:$F$61, MATCH($C53, 'Input-EWEMs'!$C$52:$C$61, 0)),'Input-EWEMs'!F21))</f>
        <v>Install 129 low-flow 1.5 GPM kitchen faucet aerators.</v>
      </c>
      <c r="F53" s="805"/>
      <c r="G53" s="805"/>
      <c r="H53" s="688">
        <f>IF('Input-EWEMs'!D21="", "", IFERROR(INDEX('Input-EWEMs'!H$52:H$61, MATCH($C53, 'Input-EWEMs'!$C$52:$C$61, 0)),'Input-EWEMs'!H21))</f>
        <v>129</v>
      </c>
      <c r="I53" s="689">
        <f>IF('Input-EWEMs'!D21="", "", IFERROR(INDEX('Input-EWEMs'!I$52:I$61, MATCH($C53, 'Input-EWEMs'!$C$52:$C$61, 0)),'Input-EWEMs'!I21))</f>
        <v>129</v>
      </c>
      <c r="J53" s="153">
        <f>IF('Input-EWEMs'!M21="", "", IFERROR(INDEX('Input-EWEMs'!M$52:M$61, MATCH($C53, 'Input-EWEMs'!$C$52:$C$61, 0)),'Input-EWEMs'!M21))</f>
        <v>1851</v>
      </c>
      <c r="K53" s="154">
        <f>IF('Input-EWEMs'!N21="", "", IFERROR(INDEX('Input-EWEMs'!N$52:N$61, MATCH($C53, 'Input-EWEMs'!$C$52:$C$61, 0)),'Input-EWEMs'!N21))</f>
        <v>1199.2084673097534</v>
      </c>
      <c r="L53" s="155">
        <f>IF('Input-EWEMs'!O21="", "", IFERROR(INDEX('Input-EWEMs'!O$52:O$61, MATCH($C53, 'Input-EWEMs'!$C$52:$C$61, 0)),'Input-EWEMs'!O21))</f>
        <v>0</v>
      </c>
      <c r="M53" s="158">
        <f>IF('Input-EWEMs'!P21="", "", IFERROR(INDEX('Input-EWEMs'!P$52:P$61, MATCH($C53, 'Input-EWEMs'!$C$52:$C$61, 0)),'Input-EWEMs'!P21))</f>
        <v>1199.2084673097534</v>
      </c>
      <c r="N53" s="157">
        <f>IF('Input-EWEMs'!Q21="", "", IFERROR(INDEX('Input-EWEMs'!Q$52:Q$61, MATCH($C53, 'Input-EWEMs'!$C$52:$C$61, 0)),'Input-EWEMs'!Q21))</f>
        <v>0</v>
      </c>
      <c r="O53" s="155">
        <f>IF('Input-EWEMs'!R21="", "", IFERROR(INDEX('Input-EWEMs'!R$52:R$61, MATCH($C53, 'Input-EWEMs'!$C$52:$C$61, 0)),'Input-EWEMs'!R21))</f>
        <v>1911.5302915760094</v>
      </c>
      <c r="P53" s="158">
        <f>IF('Input-EWEMs'!S21="", "", IFERROR(INDEX('Input-EWEMs'!S$52:S$61, MATCH($C53, 'Input-EWEMs'!$C$52:$C$61, 0)),'Input-EWEMs'!S21))</f>
        <v>1911.5302915760094</v>
      </c>
      <c r="Q53" s="159">
        <f>IF('Input-EWEMs'!AD21="", "", IFERROR(INDEX('Input-EWEMs'!AD$52:AD$61, MATCH($C53, 'Input-EWEMs'!$C$52:$C$61, 0)),'Input-EWEMs'!AD21))</f>
        <v>92100</v>
      </c>
      <c r="R53" s="160">
        <f>IF('Input-EWEMs'!AE21="", "", IFERROR(INDEX('Input-EWEMs'!AE$52:AE$61, MATCH($C53, 'Input-EWEMs'!$C$52:$C$61, 0)),'Input-EWEMs'!AE21))</f>
        <v>96705</v>
      </c>
      <c r="S53" s="161">
        <f>IF('Input-EWEMs'!AF21="", "", IFERROR(INDEX('Input-EWEMs'!AF$52:AF$61, MATCH($C53, 'Input-EWEMs'!$C$52:$C$61, 0)),'Input-EWEMs'!AF21))</f>
        <v>430</v>
      </c>
      <c r="T53" s="162">
        <f>IF('Input-EWEMs'!AH21="", "", IFERROR(INDEX('Input-EWEMs'!AH$52:AH$61, MATCH($C53, 'Input-EWEMs'!$C$52:$C$61, 0)),'Input-EWEMs'!AH21))</f>
        <v>1.0857204543983182E-2</v>
      </c>
      <c r="U53" s="734">
        <f>IF('Input-EWEMs'!AI21="", "", IFERROR(INDEX('Input-EWEMs'!AI$52:AI$61, MATCH($C53, 'Input-EWEMs'!$C$52:$C$61, 0)),'Input-EWEMs'!AI21))</f>
        <v>6.0791870592496302E-3</v>
      </c>
      <c r="V53" s="163">
        <f>IF('Input-EWEMs'!AJ21="", "", IFERROR(INDEX('Input-EWEMs'!AJ$52:AJ$61, MATCH($C53, 'Input-EWEMs'!$C$52:$C$61, 0)),'Input-EWEMs'!AJ21))</f>
        <v>5.6299420744424983E-2</v>
      </c>
      <c r="W53" s="109" t="str">
        <f>IF(B53="Yes",COUNTIF(B$44:B53,"Yes"),"")</f>
        <v/>
      </c>
      <c r="X53" s="92" t="str">
        <f t="shared" si="1"/>
        <v/>
      </c>
      <c r="Y53" s="92" t="str">
        <f t="shared" si="2"/>
        <v/>
      </c>
      <c r="Z53" s="604" t="str">
        <f t="shared" si="0"/>
        <v/>
      </c>
      <c r="AA53" s="699" t="str">
        <f t="shared" si="3"/>
        <v/>
      </c>
    </row>
    <row r="54" spans="2:27" s="92" customFormat="1" ht="36" customHeight="1" x14ac:dyDescent="0.2">
      <c r="B54" s="150" t="s">
        <v>749</v>
      </c>
      <c r="C54" s="164">
        <v>11</v>
      </c>
      <c r="D54" s="165" t="str">
        <f>IF(IFERROR(MATCH($C54, 'Input-EWEMs'!$C$52:$C$61, 0),0)&gt;0,"adj.","")</f>
        <v/>
      </c>
      <c r="E54" s="804" t="str">
        <f>IF('Input-EWEMs'!F22="", "", IFERROR(INDEX('Input-EWEMs'!$F$52:$F$61, MATCH($C54, 'Input-EWEMs'!$C$52:$C$61, 0)),'Input-EWEMs'!F22))</f>
        <v>Install 181 low-flow 1.5 GPM WaterSense-certified showerheads.</v>
      </c>
      <c r="F54" s="805"/>
      <c r="G54" s="805"/>
      <c r="H54" s="688">
        <f>IF('Input-EWEMs'!D22="", "", IFERROR(INDEX('Input-EWEMs'!H$52:H$61, MATCH($C54, 'Input-EWEMs'!$C$52:$C$61, 0)),'Input-EWEMs'!H22))</f>
        <v>181</v>
      </c>
      <c r="I54" s="689">
        <f>IF('Input-EWEMs'!D22="", "", IFERROR(INDEX('Input-EWEMs'!I$52:I$61, MATCH($C54, 'Input-EWEMs'!$C$52:$C$61, 0)),'Input-EWEMs'!I22))</f>
        <v>129</v>
      </c>
      <c r="J54" s="153">
        <f>IF('Input-EWEMs'!M22="", "", IFERROR(INDEX('Input-EWEMs'!M$52:M$61, MATCH($C54, 'Input-EWEMs'!$C$52:$C$61, 0)),'Input-EWEMs'!M22))</f>
        <v>6983</v>
      </c>
      <c r="K54" s="154">
        <f>IF('Input-EWEMs'!N22="", "", IFERROR(INDEX('Input-EWEMs'!N$52:N$61, MATCH($C54, 'Input-EWEMs'!$C$52:$C$61, 0)),'Input-EWEMs'!N22))</f>
        <v>2679.664523043944</v>
      </c>
      <c r="L54" s="155">
        <f>IF('Input-EWEMs'!O22="", "", IFERROR(INDEX('Input-EWEMs'!O$52:O$61, MATCH($C54, 'Input-EWEMs'!$C$52:$C$61, 0)),'Input-EWEMs'!O22))</f>
        <v>0</v>
      </c>
      <c r="M54" s="158">
        <f>IF('Input-EWEMs'!P22="", "", IFERROR(INDEX('Input-EWEMs'!P$52:P$61, MATCH($C54, 'Input-EWEMs'!$C$52:$C$61, 0)),'Input-EWEMs'!P22))</f>
        <v>2679.664523043944</v>
      </c>
      <c r="N54" s="157">
        <f>IF('Input-EWEMs'!Q22="", "", IFERROR(INDEX('Input-EWEMs'!Q$52:Q$61, MATCH($C54, 'Input-EWEMs'!$C$52:$C$61, 0)),'Input-EWEMs'!Q22))</f>
        <v>0</v>
      </c>
      <c r="O54" s="155">
        <f>IF('Input-EWEMs'!R22="", "", IFERROR(INDEX('Input-EWEMs'!R$52:R$61, MATCH($C54, 'Input-EWEMs'!$C$52:$C$61, 0)),'Input-EWEMs'!R22))</f>
        <v>3202.9245932104996</v>
      </c>
      <c r="P54" s="158">
        <f>IF('Input-EWEMs'!S22="", "", IFERROR(INDEX('Input-EWEMs'!S$52:S$61, MATCH($C54, 'Input-EWEMs'!$C$52:$C$61, 0)),'Input-EWEMs'!S22))</f>
        <v>3202.9245932104996</v>
      </c>
      <c r="Q54" s="159">
        <f>IF('Input-EWEMs'!AD22="", "", IFERROR(INDEX('Input-EWEMs'!AD$52:AD$61, MATCH($C54, 'Input-EWEMs'!$C$52:$C$61, 0)),'Input-EWEMs'!AD22))</f>
        <v>205800</v>
      </c>
      <c r="R54" s="160">
        <f>IF('Input-EWEMs'!AE22="", "", IFERROR(INDEX('Input-EWEMs'!AE$52:AE$61, MATCH($C54, 'Input-EWEMs'!$C$52:$C$61, 0)),'Input-EWEMs'!AE22))</f>
        <v>216090</v>
      </c>
      <c r="S54" s="161">
        <f>IF('Input-EWEMs'!AF22="", "", IFERROR(INDEX('Input-EWEMs'!AF$52:AF$61, MATCH($C54, 'Input-EWEMs'!$C$52:$C$61, 0)),'Input-EWEMs'!AF22))</f>
        <v>720.5</v>
      </c>
      <c r="T54" s="162">
        <f>IF('Input-EWEMs'!AH22="", "", IFERROR(INDEX('Input-EWEMs'!AH$52:AH$61, MATCH($C54, 'Input-EWEMs'!$C$52:$C$61, 0)),'Input-EWEMs'!AH22))</f>
        <v>2.4260724160170888E-2</v>
      </c>
      <c r="U54" s="734">
        <f>IF('Input-EWEMs'!AI22="", "", IFERROR(INDEX('Input-EWEMs'!AI$52:AI$61, MATCH($C54, 'Input-EWEMs'!$C$52:$C$61, 0)),'Input-EWEMs'!AI22))</f>
        <v>1.3584111800147382E-2</v>
      </c>
      <c r="V54" s="163">
        <f>IF('Input-EWEMs'!AJ22="", "", IFERROR(INDEX('Input-EWEMs'!AJ$52:AJ$61, MATCH($C54, 'Input-EWEMs'!$C$52:$C$61, 0)),'Input-EWEMs'!AJ22))</f>
        <v>9.433426196827488E-2</v>
      </c>
      <c r="W54" s="109" t="str">
        <f>IF(B54="Yes",COUNTIF(B$44:B54,"Yes"),"")</f>
        <v/>
      </c>
      <c r="X54" s="92" t="str">
        <f t="shared" si="1"/>
        <v/>
      </c>
      <c r="Y54" s="92" t="str">
        <f t="shared" si="2"/>
        <v/>
      </c>
      <c r="Z54" s="604" t="str">
        <f t="shared" si="0"/>
        <v/>
      </c>
      <c r="AA54" s="699" t="str">
        <f t="shared" si="3"/>
        <v/>
      </c>
    </row>
    <row r="55" spans="2:27" s="92" customFormat="1" ht="36" customHeight="1" x14ac:dyDescent="0.2">
      <c r="B55" s="150" t="s">
        <v>749</v>
      </c>
      <c r="C55" s="164">
        <v>12</v>
      </c>
      <c r="D55" s="165" t="str">
        <f>IF(IFERROR(MATCH($C55, 'Input-EWEMs'!$C$52:$C$61, 0),0)&gt;0,"adj.","")</f>
        <v/>
      </c>
      <c r="E55" s="804" t="str">
        <f>IF('Input-EWEMs'!F23="", "", IFERROR(INDEX('Input-EWEMs'!$F$52:$F$61, MATCH($C55, 'Input-EWEMs'!$C$52:$C$61, 0)),'Input-EWEMs'!F23))</f>
        <v>Install 235 0.8 GPF WaterSense-certified toilets.</v>
      </c>
      <c r="F55" s="805"/>
      <c r="G55" s="805"/>
      <c r="H55" s="688">
        <f>IF('Input-EWEMs'!D23="", "", IFERROR(INDEX('Input-EWEMs'!H$52:H$61, MATCH($C55, 'Input-EWEMs'!$C$52:$C$61, 0)),'Input-EWEMs'!H23))</f>
        <v>235</v>
      </c>
      <c r="I55" s="689">
        <f>IF('Input-EWEMs'!D23="", "", IFERROR(INDEX('Input-EWEMs'!I$52:I$61, MATCH($C55, 'Input-EWEMs'!$C$52:$C$61, 0)),'Input-EWEMs'!I23))</f>
        <v>129</v>
      </c>
      <c r="J55" s="153">
        <f>IF('Input-EWEMs'!M23="", "", IFERROR(INDEX('Input-EWEMs'!M$52:M$61, MATCH($C55, 'Input-EWEMs'!$C$52:$C$61, 0)),'Input-EWEMs'!M23))</f>
        <v>53675</v>
      </c>
      <c r="K55" s="154">
        <f>IF('Input-EWEMs'!N23="", "", IFERROR(INDEX('Input-EWEMs'!N$52:N$61, MATCH($C55, 'Input-EWEMs'!$C$52:$C$61, 0)),'Input-EWEMs'!N23))</f>
        <v>0</v>
      </c>
      <c r="L55" s="155">
        <f>IF('Input-EWEMs'!O23="", "", IFERROR(INDEX('Input-EWEMs'!O$52:O$61, MATCH($C55, 'Input-EWEMs'!$C$52:$C$61, 0)),'Input-EWEMs'!O23))</f>
        <v>0</v>
      </c>
      <c r="M55" s="158">
        <f>IF('Input-EWEMs'!P23="", "", IFERROR(INDEX('Input-EWEMs'!P$52:P$61, MATCH($C55, 'Input-EWEMs'!$C$52:$C$61, 0)),'Input-EWEMs'!P23))</f>
        <v>0</v>
      </c>
      <c r="N55" s="157">
        <f>IF('Input-EWEMs'!Q23="", "", IFERROR(INDEX('Input-EWEMs'!Q$52:Q$61, MATCH($C55, 'Input-EWEMs'!$C$52:$C$61, 0)),'Input-EWEMs'!Q23))</f>
        <v>0</v>
      </c>
      <c r="O55" s="155">
        <f>IF('Input-EWEMs'!R23="", "", IFERROR(INDEX('Input-EWEMs'!R$52:R$61, MATCH($C55, 'Input-EWEMs'!$C$52:$C$61, 0)),'Input-EWEMs'!R23))</f>
        <v>6223.5869958288677</v>
      </c>
      <c r="P55" s="158">
        <f>IF('Input-EWEMs'!S23="", "", IFERROR(INDEX('Input-EWEMs'!S$52:S$61, MATCH($C55, 'Input-EWEMs'!$C$52:$C$61, 0)),'Input-EWEMs'!S23))</f>
        <v>6223.5869958288677</v>
      </c>
      <c r="Q55" s="159">
        <f>IF('Input-EWEMs'!AD23="", "", IFERROR(INDEX('Input-EWEMs'!AD$52:AD$61, MATCH($C55, 'Input-EWEMs'!$C$52:$C$61, 0)),'Input-EWEMs'!AD23))</f>
        <v>0</v>
      </c>
      <c r="R55" s="160">
        <f>IF('Input-EWEMs'!AE23="", "", IFERROR(INDEX('Input-EWEMs'!AE$52:AE$61, MATCH($C55, 'Input-EWEMs'!$C$52:$C$61, 0)),'Input-EWEMs'!AE23))</f>
        <v>0</v>
      </c>
      <c r="S55" s="161">
        <f>IF('Input-EWEMs'!AF23="", "", IFERROR(INDEX('Input-EWEMs'!AF$52:AF$61, MATCH($C55, 'Input-EWEMs'!$C$52:$C$61, 0)),'Input-EWEMs'!AF23))</f>
        <v>1400</v>
      </c>
      <c r="T55" s="162">
        <f>IF('Input-EWEMs'!AH23="", "", IFERROR(INDEX('Input-EWEMs'!AH$52:AH$61, MATCH($C55, 'Input-EWEMs'!$C$52:$C$61, 0)),'Input-EWEMs'!AH23))</f>
        <v>0</v>
      </c>
      <c r="U55" s="734">
        <f>IF('Input-EWEMs'!AI23="", "", IFERROR(INDEX('Input-EWEMs'!AI$52:AI$61, MATCH($C55, 'Input-EWEMs'!$C$52:$C$61, 0)),'Input-EWEMs'!AI23))</f>
        <v>0</v>
      </c>
      <c r="V55" s="163">
        <f>IF('Input-EWEMs'!AJ23="", "", IFERROR(INDEX('Input-EWEMs'!AJ$52:AJ$61, MATCH($C55, 'Input-EWEMs'!$C$52:$C$61, 0)),'Input-EWEMs'!AJ23))</f>
        <v>0.18330043963301157</v>
      </c>
      <c r="W55" s="109" t="str">
        <f>IF(B55="Yes",COUNTIF(B$44:B55,"Yes"),"")</f>
        <v/>
      </c>
      <c r="X55" s="92" t="str">
        <f t="shared" si="1"/>
        <v/>
      </c>
      <c r="Y55" s="92" t="str">
        <f t="shared" si="2"/>
        <v/>
      </c>
      <c r="Z55" s="604" t="str">
        <f t="shared" si="0"/>
        <v/>
      </c>
      <c r="AA55" s="699" t="str">
        <f t="shared" si="3"/>
        <v/>
      </c>
    </row>
    <row r="56" spans="2:27" s="92" customFormat="1" ht="36" customHeight="1" x14ac:dyDescent="0.2">
      <c r="B56" s="150" t="s">
        <v>749</v>
      </c>
      <c r="C56" s="164">
        <v>13</v>
      </c>
      <c r="D56" s="165" t="str">
        <f>IF(IFERROR(MATCH($C56, 'Input-EWEMs'!$C$52:$C$61, 0),0)&gt;0,"adj.","")</f>
        <v/>
      </c>
      <c r="E56" s="804" t="str">
        <f>IF('Input-EWEMs'!F24="", "", IFERROR(INDEX('Input-EWEMs'!$F$52:$F$61, MATCH($C56, 'Input-EWEMs'!$C$52:$C$61, 0)),'Input-EWEMs'!F24))</f>
        <v>Upgrade existing 5-HP continuous-speed pool pump to VSD-controlled pool pump.</v>
      </c>
      <c r="F56" s="805"/>
      <c r="G56" s="805"/>
      <c r="H56" s="688">
        <f>IF('Input-EWEMs'!D24="", "", IFERROR(INDEX('Input-EWEMs'!H$52:H$61, MATCH($C56, 'Input-EWEMs'!$C$52:$C$61, 0)),'Input-EWEMs'!H24))</f>
        <v>1</v>
      </c>
      <c r="I56" s="689">
        <f>IF('Input-EWEMs'!D24="", "", IFERROR(INDEX('Input-EWEMs'!I$52:I$61, MATCH($C56, 'Input-EWEMs'!$C$52:$C$61, 0)),'Input-EWEMs'!I24))</f>
        <v>0</v>
      </c>
      <c r="J56" s="153">
        <f>IF('Input-EWEMs'!M24="", "", IFERROR(INDEX('Input-EWEMs'!M$52:M$61, MATCH($C56, 'Input-EWEMs'!$C$52:$C$61, 0)),'Input-EWEMs'!M24))</f>
        <v>2000</v>
      </c>
      <c r="K56" s="154">
        <f>IF('Input-EWEMs'!N24="", "", IFERROR(INDEX('Input-EWEMs'!N$52:N$61, MATCH($C56, 'Input-EWEMs'!$C$52:$C$61, 0)),'Input-EWEMs'!N24))</f>
        <v>228.6233706643111</v>
      </c>
      <c r="L56" s="155">
        <f>IF('Input-EWEMs'!O24="", "", IFERROR(INDEX('Input-EWEMs'!O$52:O$61, MATCH($C56, 'Input-EWEMs'!$C$52:$C$61, 0)),'Input-EWEMs'!O24))</f>
        <v>0</v>
      </c>
      <c r="M56" s="158">
        <f>IF('Input-EWEMs'!P24="", "", IFERROR(INDEX('Input-EWEMs'!P$52:P$61, MATCH($C56, 'Input-EWEMs'!$C$52:$C$61, 0)),'Input-EWEMs'!P24))</f>
        <v>228.6233706643111</v>
      </c>
      <c r="N56" s="157">
        <f>IF('Input-EWEMs'!Q24="", "", IFERROR(INDEX('Input-EWEMs'!Q$52:Q$61, MATCH($C56, 'Input-EWEMs'!$C$52:$C$61, 0)),'Input-EWEMs'!Q24))</f>
        <v>0</v>
      </c>
      <c r="O56" s="155">
        <f>IF('Input-EWEMs'!R24="", "", IFERROR(INDEX('Input-EWEMs'!R$52:R$61, MATCH($C56, 'Input-EWEMs'!$C$52:$C$61, 0)),'Input-EWEMs'!R24))</f>
        <v>0</v>
      </c>
      <c r="P56" s="158">
        <f>IF('Input-EWEMs'!S24="", "", IFERROR(INDEX('Input-EWEMs'!S$52:S$61, MATCH($C56, 'Input-EWEMs'!$C$52:$C$61, 0)),'Input-EWEMs'!S24))</f>
        <v>0</v>
      </c>
      <c r="Q56" s="159">
        <f>IF('Input-EWEMs'!AD24="", "", IFERROR(INDEX('Input-EWEMs'!AD$52:AD$61, MATCH($C56, 'Input-EWEMs'!$C$52:$C$61, 0)),'Input-EWEMs'!AD24))</f>
        <v>7434.7479999999996</v>
      </c>
      <c r="R56" s="160">
        <f>IF('Input-EWEMs'!AE24="", "", IFERROR(INDEX('Input-EWEMs'!AE$52:AE$61, MATCH($C56, 'Input-EWEMs'!$C$52:$C$61, 0)),'Input-EWEMs'!AE24))</f>
        <v>20817.294399999999</v>
      </c>
      <c r="S56" s="161">
        <f>IF('Input-EWEMs'!AF24="", "", IFERROR(INDEX('Input-EWEMs'!AF$52:AF$61, MATCH($C56, 'Input-EWEMs'!$C$52:$C$61, 0)),'Input-EWEMs'!AF24))</f>
        <v>0</v>
      </c>
      <c r="T56" s="162">
        <f>IF('Input-EWEMs'!AH24="", "", IFERROR(INDEX('Input-EWEMs'!AH$52:AH$61, MATCH($C56, 'Input-EWEMs'!$C$52:$C$61, 0)),'Input-EWEMs'!AH24))</f>
        <v>8.764449486315946E-4</v>
      </c>
      <c r="U56" s="734">
        <f>IF('Input-EWEMs'!AI24="", "", IFERROR(INDEX('Input-EWEMs'!AI$52:AI$61, MATCH($C56, 'Input-EWEMs'!$C$52:$C$61, 0)),'Input-EWEMs'!AI24))</f>
        <v>1.0104029732510343E-3</v>
      </c>
      <c r="V56" s="163">
        <f>IF('Input-EWEMs'!AJ24="", "", IFERROR(INDEX('Input-EWEMs'!AJ$52:AJ$61, MATCH($C56, 'Input-EWEMs'!$C$52:$C$61, 0)),'Input-EWEMs'!AJ24))</f>
        <v>0</v>
      </c>
      <c r="W56" s="109" t="str">
        <f>IF(B56="Yes",COUNTIF(B$44:B56,"Yes"),"")</f>
        <v/>
      </c>
      <c r="X56" s="92" t="str">
        <f t="shared" si="1"/>
        <v/>
      </c>
      <c r="Y56" s="92" t="str">
        <f t="shared" si="2"/>
        <v/>
      </c>
      <c r="Z56" s="604" t="str">
        <f t="shared" si="0"/>
        <v/>
      </c>
      <c r="AA56" s="699" t="str">
        <f t="shared" si="3"/>
        <v/>
      </c>
    </row>
    <row r="57" spans="2:27" s="92" customFormat="1" ht="36" customHeight="1" x14ac:dyDescent="0.2">
      <c r="B57" s="150" t="s">
        <v>737</v>
      </c>
      <c r="C57" s="164">
        <v>14</v>
      </c>
      <c r="D57" s="165" t="str">
        <f>IF(IFERROR(MATCH($C57, 'Input-EWEMs'!$C$52:$C$61, 0),0)&gt;0,"adj.","")</f>
        <v/>
      </c>
      <c r="E57" s="804" t="str">
        <f>IF('Input-EWEMs'!F25="", "", IFERROR(INDEX('Input-EWEMs'!$F$52:$F$61, MATCH($C57, 'Input-EWEMs'!$C$52:$C$61, 0)),'Input-EWEMs'!F25))</f>
        <v>Install grid-tied 850.8 kW Solar PV system comprised of 520.8 kW roof-mounted (non-ballasted) and 330 kW canopy-mounted arrays. Selective tree trimming and roof replacement must be included.</v>
      </c>
      <c r="F57" s="805"/>
      <c r="G57" s="805"/>
      <c r="H57" s="688">
        <f>IF('Input-EWEMs'!D25="", "", IFERROR(INDEX('Input-EWEMs'!H$52:H$61, MATCH($C57, 'Input-EWEMs'!$C$52:$C$61, 0)),'Input-EWEMs'!H25))</f>
        <v>1</v>
      </c>
      <c r="I57" s="689">
        <f>IF('Input-EWEMs'!D25="", "", IFERROR(INDEX('Input-EWEMs'!I$52:I$61, MATCH($C57, 'Input-EWEMs'!$C$52:$C$61, 0)),'Input-EWEMs'!I25))</f>
        <v>0</v>
      </c>
      <c r="J57" s="153">
        <f>IF('Input-EWEMs'!M25="", "", IFERROR(INDEX('Input-EWEMs'!M$52:M$61, MATCH($C57, 'Input-EWEMs'!$C$52:$C$61, 0)),'Input-EWEMs'!M25))</f>
        <v>2537077</v>
      </c>
      <c r="K57" s="154">
        <f>IF('Input-EWEMs'!N25="", "", IFERROR(INDEX('Input-EWEMs'!N$52:N$61, MATCH($C57, 'Input-EWEMs'!$C$52:$C$61, 0)),'Input-EWEMs'!N25))</f>
        <v>156682.02758794662</v>
      </c>
      <c r="L57" s="155">
        <f>IF('Input-EWEMs'!O25="", "", IFERROR(INDEX('Input-EWEMs'!O$52:O$61, MATCH($C57, 'Input-EWEMs'!$C$52:$C$61, 0)),'Input-EWEMs'!O25))</f>
        <v>0</v>
      </c>
      <c r="M57" s="158">
        <f>IF('Input-EWEMs'!P25="", "", IFERROR(INDEX('Input-EWEMs'!P$52:P$61, MATCH($C57, 'Input-EWEMs'!$C$52:$C$61, 0)),'Input-EWEMs'!P25))</f>
        <v>156682.02758794662</v>
      </c>
      <c r="N57" s="157">
        <f>IF('Input-EWEMs'!Q25="", "", IFERROR(INDEX('Input-EWEMs'!Q$52:Q$61, MATCH($C57, 'Input-EWEMs'!$C$52:$C$61, 0)),'Input-EWEMs'!Q25))</f>
        <v>0</v>
      </c>
      <c r="O57" s="155">
        <f>IF('Input-EWEMs'!R25="", "", IFERROR(INDEX('Input-EWEMs'!R$52:R$61, MATCH($C57, 'Input-EWEMs'!$C$52:$C$61, 0)),'Input-EWEMs'!R25))</f>
        <v>0</v>
      </c>
      <c r="P57" s="158">
        <f>IF('Input-EWEMs'!S25="", "", IFERROR(INDEX('Input-EWEMs'!S$52:S$61, MATCH($C57, 'Input-EWEMs'!$C$52:$C$61, 0)),'Input-EWEMs'!S25))</f>
        <v>0</v>
      </c>
      <c r="Q57" s="159">
        <f>IF('Input-EWEMs'!AD25="", "", IFERROR(INDEX('Input-EWEMs'!AD$52:AD$61, MATCH($C57, 'Input-EWEMs'!$C$52:$C$61, 0)),'Input-EWEMs'!AD25))</f>
        <v>5095241.96</v>
      </c>
      <c r="R57" s="160">
        <f>IF('Input-EWEMs'!AE25="", "", IFERROR(INDEX('Input-EWEMs'!AE$52:AE$61, MATCH($C57, 'Input-EWEMs'!$C$52:$C$61, 0)),'Input-EWEMs'!AE25))</f>
        <v>14266677.488</v>
      </c>
      <c r="S57" s="161">
        <f>IF('Input-EWEMs'!AF25="", "", IFERROR(INDEX('Input-EWEMs'!AF$52:AF$61, MATCH($C57, 'Input-EWEMs'!$C$52:$C$61, 0)),'Input-EWEMs'!AF25))</f>
        <v>0</v>
      </c>
      <c r="T57" s="162">
        <f>IF('Input-EWEMs'!AH25="", "", IFERROR(INDEX('Input-EWEMs'!AH$52:AH$61, MATCH($C57, 'Input-EWEMs'!$C$52:$C$61, 0)),'Input-EWEMs'!AH25))</f>
        <v>0.60065237959615392</v>
      </c>
      <c r="U57" s="734">
        <f>IF('Input-EWEMs'!AI25="", "", IFERROR(INDEX('Input-EWEMs'!AI$52:AI$61, MATCH($C57, 'Input-EWEMs'!$C$52:$C$61, 0)),'Input-EWEMs'!AI25))</f>
        <v>0.69245758239787369</v>
      </c>
      <c r="V57" s="163">
        <f>IF('Input-EWEMs'!AJ25="", "", IFERROR(INDEX('Input-EWEMs'!AJ$52:AJ$61, MATCH($C57, 'Input-EWEMs'!$C$52:$C$61, 0)),'Input-EWEMs'!AJ25))</f>
        <v>0</v>
      </c>
      <c r="W57" s="109">
        <f>IF(B57="Yes",COUNTIF(B$44:B57,"Yes"),"")</f>
        <v>4</v>
      </c>
      <c r="X57" s="92" t="b">
        <f t="shared" si="1"/>
        <v>1</v>
      </c>
      <c r="Y57" s="92" t="b">
        <f t="shared" si="2"/>
        <v>1</v>
      </c>
      <c r="Z57" s="604">
        <f t="shared" si="0"/>
        <v>3171346</v>
      </c>
      <c r="AA57" s="699" t="str">
        <f t="shared" si="3"/>
        <v>12 months</v>
      </c>
    </row>
    <row r="58" spans="2:27" s="166" customFormat="1" ht="36" customHeight="1" x14ac:dyDescent="0.2">
      <c r="B58" s="150" t="s">
        <v>737</v>
      </c>
      <c r="C58" s="164">
        <v>15</v>
      </c>
      <c r="D58" s="165" t="str">
        <f>IF(IFERROR(MATCH($C58, 'Input-EWEMs'!$C$52:$C$61, 0),0)&gt;0,"adj.","")</f>
        <v/>
      </c>
      <c r="E58" s="804" t="str">
        <f>IF('Input-EWEMs'!F26="", "", IFERROR(INDEX('Input-EWEMs'!$F$52:$F$61, MATCH($C58, 'Input-EWEMs'!$C$52:$C$61, 0)),'Input-EWEMs'!F26))</f>
        <v>Install foam roof overlap on top of existing roof for building A,B,E,F,G,H,I and leasing office. Must be included if EWEM "install photovoltaic system" is selected.</v>
      </c>
      <c r="F58" s="805"/>
      <c r="G58" s="805"/>
      <c r="H58" s="688">
        <f>IF('Input-EWEMs'!D26="", "", IFERROR(INDEX('Input-EWEMs'!H$52:H$61, MATCH($C58, 'Input-EWEMs'!$C$52:$C$61, 0)),'Input-EWEMs'!H26))</f>
        <v>1</v>
      </c>
      <c r="I58" s="689">
        <f>IF('Input-EWEMs'!D26="", "", IFERROR(INDEX('Input-EWEMs'!I$52:I$61, MATCH($C58, 'Input-EWEMs'!$C$52:$C$61, 0)),'Input-EWEMs'!I26))</f>
        <v>0</v>
      </c>
      <c r="J58" s="153">
        <f>IF('Input-EWEMs'!M26="", "", IFERROR(INDEX('Input-EWEMs'!M$52:M$61, MATCH($C58, 'Input-EWEMs'!$C$52:$C$61, 0)),'Input-EWEMs'!M26))</f>
        <v>280000</v>
      </c>
      <c r="K58" s="154">
        <f>IF('Input-EWEMs'!N26="", "", IFERROR(INDEX('Input-EWEMs'!N$52:N$61, MATCH($C58, 'Input-EWEMs'!$C$52:$C$61, 0)),'Input-EWEMs'!N26))</f>
        <v>0</v>
      </c>
      <c r="L58" s="155">
        <f>IF('Input-EWEMs'!O26="", "", IFERROR(INDEX('Input-EWEMs'!O$52:O$61, MATCH($C58, 'Input-EWEMs'!$C$52:$C$61, 0)),'Input-EWEMs'!O26))</f>
        <v>0</v>
      </c>
      <c r="M58" s="158">
        <f>IF('Input-EWEMs'!P26="", "", IFERROR(INDEX('Input-EWEMs'!P$52:P$61, MATCH($C58, 'Input-EWEMs'!$C$52:$C$61, 0)),'Input-EWEMs'!P26))</f>
        <v>0</v>
      </c>
      <c r="N58" s="157">
        <f>IF('Input-EWEMs'!Q26="", "", IFERROR(INDEX('Input-EWEMs'!Q$52:Q$61, MATCH($C58, 'Input-EWEMs'!$C$52:$C$61, 0)),'Input-EWEMs'!Q26))</f>
        <v>0</v>
      </c>
      <c r="O58" s="155">
        <f>IF('Input-EWEMs'!R26="", "", IFERROR(INDEX('Input-EWEMs'!R$52:R$61, MATCH($C58, 'Input-EWEMs'!$C$52:$C$61, 0)),'Input-EWEMs'!R26))</f>
        <v>0</v>
      </c>
      <c r="P58" s="158">
        <f>IF('Input-EWEMs'!S26="", "", IFERROR(INDEX('Input-EWEMs'!S$52:S$61, MATCH($C58, 'Input-EWEMs'!$C$52:$C$61, 0)),'Input-EWEMs'!S26))</f>
        <v>0</v>
      </c>
      <c r="Q58" s="159">
        <f>IF('Input-EWEMs'!AD26="", "", IFERROR(INDEX('Input-EWEMs'!AD$52:AD$61, MATCH($C58, 'Input-EWEMs'!$C$52:$C$61, 0)),'Input-EWEMs'!AD26))</f>
        <v>0</v>
      </c>
      <c r="R58" s="160">
        <f>IF('Input-EWEMs'!AE26="", "", IFERROR(INDEX('Input-EWEMs'!AE$52:AE$61, MATCH($C58, 'Input-EWEMs'!$C$52:$C$61, 0)),'Input-EWEMs'!AE26))</f>
        <v>0</v>
      </c>
      <c r="S58" s="161">
        <f>IF('Input-EWEMs'!AF26="", "", IFERROR(INDEX('Input-EWEMs'!AF$52:AF$61, MATCH($C58, 'Input-EWEMs'!$C$52:$C$61, 0)),'Input-EWEMs'!AF26))</f>
        <v>0</v>
      </c>
      <c r="T58" s="162">
        <f>IF('Input-EWEMs'!AH26="", "", IFERROR(INDEX('Input-EWEMs'!AH$52:AH$61, MATCH($C58, 'Input-EWEMs'!$C$52:$C$61, 0)),'Input-EWEMs'!AH26))</f>
        <v>0</v>
      </c>
      <c r="U58" s="734">
        <f>IF('Input-EWEMs'!AI26="", "", IFERROR(INDEX('Input-EWEMs'!AI$52:AI$61, MATCH($C58, 'Input-EWEMs'!$C$52:$C$61, 0)),'Input-EWEMs'!AI26))</f>
        <v>0</v>
      </c>
      <c r="V58" s="163">
        <f>IF('Input-EWEMs'!AJ26="", "", IFERROR(INDEX('Input-EWEMs'!AJ$52:AJ$61, MATCH($C58, 'Input-EWEMs'!$C$52:$C$61, 0)),'Input-EWEMs'!AJ26))</f>
        <v>0</v>
      </c>
      <c r="W58" s="109">
        <f>IF(B58="Yes",COUNTIF(B$44:B58,"Yes"),"")</f>
        <v>5</v>
      </c>
      <c r="X58" s="92" t="b">
        <f t="shared" si="1"/>
        <v>1</v>
      </c>
      <c r="Y58" s="92" t="b">
        <f t="shared" si="2"/>
        <v>1</v>
      </c>
      <c r="Z58" s="604">
        <f t="shared" si="0"/>
        <v>350000</v>
      </c>
      <c r="AA58" s="699" t="str">
        <f t="shared" si="3"/>
        <v>12 months</v>
      </c>
    </row>
    <row r="59" spans="2:27" s="92" customFormat="1" ht="36" customHeight="1" x14ac:dyDescent="0.2">
      <c r="B59" s="150"/>
      <c r="C59" s="164">
        <v>16</v>
      </c>
      <c r="D59" s="165" t="str">
        <f>IF(IFERROR(MATCH($C59, 'Input-EWEMs'!$C$52:$C$61, 0),0)&gt;0,"adj.","")</f>
        <v/>
      </c>
      <c r="E59" s="804" t="str">
        <f>IF('Input-EWEMs'!F27="", "", IFERROR(INDEX('Input-EWEMs'!$F$52:$F$61, MATCH($C59, 'Input-EWEMs'!$C$52:$C$61, 0)),'Input-EWEMs'!F27))</f>
        <v/>
      </c>
      <c r="F59" s="805"/>
      <c r="G59" s="805"/>
      <c r="H59" s="688" t="str">
        <f>IF('Input-EWEMs'!D27="", "", IFERROR(INDEX('Input-EWEMs'!H$52:H$61, MATCH($C59, 'Input-EWEMs'!$C$52:$C$61, 0)),'Input-EWEMs'!H27))</f>
        <v/>
      </c>
      <c r="I59" s="689" t="str">
        <f>IF('Input-EWEMs'!D27="", "", IFERROR(INDEX('Input-EWEMs'!I$52:I$61, MATCH($C59, 'Input-EWEMs'!$C$52:$C$61, 0)),'Input-EWEMs'!I27))</f>
        <v/>
      </c>
      <c r="J59" s="153" t="str">
        <f>IF('Input-EWEMs'!M27="", "", IFERROR(INDEX('Input-EWEMs'!M$52:M$61, MATCH($C59, 'Input-EWEMs'!$C$52:$C$61, 0)),'Input-EWEMs'!M27))</f>
        <v/>
      </c>
      <c r="K59" s="154" t="str">
        <f>IF('Input-EWEMs'!N27="", "", IFERROR(INDEX('Input-EWEMs'!N$52:N$61, MATCH($C59, 'Input-EWEMs'!$C$52:$C$61, 0)),'Input-EWEMs'!N27))</f>
        <v/>
      </c>
      <c r="L59" s="155" t="str">
        <f>IF('Input-EWEMs'!O27="", "", IFERROR(INDEX('Input-EWEMs'!O$52:O$61, MATCH($C59, 'Input-EWEMs'!$C$52:$C$61, 0)),'Input-EWEMs'!O27))</f>
        <v/>
      </c>
      <c r="M59" s="158" t="str">
        <f>IF('Input-EWEMs'!P27="", "", IFERROR(INDEX('Input-EWEMs'!P$52:P$61, MATCH($C59, 'Input-EWEMs'!$C$52:$C$61, 0)),'Input-EWEMs'!P27))</f>
        <v/>
      </c>
      <c r="N59" s="157" t="str">
        <f>IF('Input-EWEMs'!Q27="", "", IFERROR(INDEX('Input-EWEMs'!Q$52:Q$61, MATCH($C59, 'Input-EWEMs'!$C$52:$C$61, 0)),'Input-EWEMs'!Q27))</f>
        <v/>
      </c>
      <c r="O59" s="155" t="str">
        <f>IF('Input-EWEMs'!R27="", "", IFERROR(INDEX('Input-EWEMs'!R$52:R$61, MATCH($C59, 'Input-EWEMs'!$C$52:$C$61, 0)),'Input-EWEMs'!R27))</f>
        <v/>
      </c>
      <c r="P59" s="158" t="str">
        <f>IF('Input-EWEMs'!S27="", "", IFERROR(INDEX('Input-EWEMs'!S$52:S$61, MATCH($C59, 'Input-EWEMs'!$C$52:$C$61, 0)),'Input-EWEMs'!S27))</f>
        <v/>
      </c>
      <c r="Q59" s="159">
        <f>IF('Input-EWEMs'!AD27="", "", IFERROR(INDEX('Input-EWEMs'!AD$52:AD$61, MATCH($C59, 'Input-EWEMs'!$C$52:$C$61, 0)),'Input-EWEMs'!AD27))</f>
        <v>0</v>
      </c>
      <c r="R59" s="160">
        <f>IF('Input-EWEMs'!AE27="", "", IFERROR(INDEX('Input-EWEMs'!AE$52:AE$61, MATCH($C59, 'Input-EWEMs'!$C$52:$C$61, 0)),'Input-EWEMs'!AE27))</f>
        <v>0</v>
      </c>
      <c r="S59" s="161" t="str">
        <f>IF('Input-EWEMs'!AF27="", "", IFERROR(INDEX('Input-EWEMs'!AF$52:AF$61, MATCH($C59, 'Input-EWEMs'!$C$52:$C$61, 0)),'Input-EWEMs'!AF27))</f>
        <v/>
      </c>
      <c r="T59" s="162" t="str">
        <f>IF('Input-EWEMs'!AH27="", "", IFERROR(INDEX('Input-EWEMs'!AH$52:AH$61, MATCH($C59, 'Input-EWEMs'!$C$52:$C$61, 0)),'Input-EWEMs'!AH27))</f>
        <v/>
      </c>
      <c r="U59" s="734" t="str">
        <f>IF('Input-EWEMs'!AI27="", "", IFERROR(INDEX('Input-EWEMs'!AI$52:AI$61, MATCH($C59, 'Input-EWEMs'!$C$52:$C$61, 0)),'Input-EWEMs'!AI27))</f>
        <v/>
      </c>
      <c r="V59" s="163" t="str">
        <f>IF('Input-EWEMs'!AJ27="", "", IFERROR(INDEX('Input-EWEMs'!AJ$52:AJ$61, MATCH($C59, 'Input-EWEMs'!$C$52:$C$61, 0)),'Input-EWEMs'!AJ27))</f>
        <v/>
      </c>
      <c r="W59" s="109" t="str">
        <f>IF(B59="Yes",COUNTIF(B$44:B59,"Yes"),"")</f>
        <v/>
      </c>
      <c r="X59" s="92" t="str">
        <f t="shared" si="1"/>
        <v/>
      </c>
      <c r="Y59" s="92" t="str">
        <f t="shared" si="2"/>
        <v/>
      </c>
      <c r="Z59" s="604" t="str">
        <f t="shared" si="0"/>
        <v/>
      </c>
      <c r="AA59" s="699" t="str">
        <f t="shared" si="3"/>
        <v/>
      </c>
    </row>
    <row r="60" spans="2:27" s="92" customFormat="1" ht="36" customHeight="1" x14ac:dyDescent="0.2">
      <c r="B60" s="150"/>
      <c r="C60" s="164">
        <v>17</v>
      </c>
      <c r="D60" s="165" t="str">
        <f>IF(IFERROR(MATCH($C60, 'Input-EWEMs'!$C$52:$C$61, 0),0)&gt;0,"adj.","")</f>
        <v/>
      </c>
      <c r="E60" s="804" t="str">
        <f>IF('Input-EWEMs'!F28="", "", IFERROR(INDEX('Input-EWEMs'!$F$52:$F$61, MATCH($C60, 'Input-EWEMs'!$C$52:$C$61, 0)),'Input-EWEMs'!F28))</f>
        <v/>
      </c>
      <c r="F60" s="805"/>
      <c r="G60" s="805"/>
      <c r="H60" s="688" t="str">
        <f>IF('Input-EWEMs'!D28="", "", IFERROR(INDEX('Input-EWEMs'!H$52:H$61, MATCH($C60, 'Input-EWEMs'!$C$52:$C$61, 0)),'Input-EWEMs'!H28))</f>
        <v/>
      </c>
      <c r="I60" s="689" t="str">
        <f>IF('Input-EWEMs'!D28="", "", IFERROR(INDEX('Input-EWEMs'!I$52:I$61, MATCH($C60, 'Input-EWEMs'!$C$52:$C$61, 0)),'Input-EWEMs'!I28))</f>
        <v/>
      </c>
      <c r="J60" s="153" t="str">
        <f>IF('Input-EWEMs'!M28="", "", IFERROR(INDEX('Input-EWEMs'!M$52:M$61, MATCH($C60, 'Input-EWEMs'!$C$52:$C$61, 0)),'Input-EWEMs'!M28))</f>
        <v/>
      </c>
      <c r="K60" s="154" t="str">
        <f>IF('Input-EWEMs'!N28="", "", IFERROR(INDEX('Input-EWEMs'!N$52:N$61, MATCH($C60, 'Input-EWEMs'!$C$52:$C$61, 0)),'Input-EWEMs'!N28))</f>
        <v/>
      </c>
      <c r="L60" s="155" t="str">
        <f>IF('Input-EWEMs'!O28="", "", IFERROR(INDEX('Input-EWEMs'!O$52:O$61, MATCH($C60, 'Input-EWEMs'!$C$52:$C$61, 0)),'Input-EWEMs'!O28))</f>
        <v/>
      </c>
      <c r="M60" s="158" t="str">
        <f>IF('Input-EWEMs'!P28="", "", IFERROR(INDEX('Input-EWEMs'!P$52:P$61, MATCH($C60, 'Input-EWEMs'!$C$52:$C$61, 0)),'Input-EWEMs'!P28))</f>
        <v/>
      </c>
      <c r="N60" s="157" t="str">
        <f>IF('Input-EWEMs'!Q28="", "", IFERROR(INDEX('Input-EWEMs'!Q$52:Q$61, MATCH($C60, 'Input-EWEMs'!$C$52:$C$61, 0)),'Input-EWEMs'!Q28))</f>
        <v/>
      </c>
      <c r="O60" s="155" t="str">
        <f>IF('Input-EWEMs'!R28="", "", IFERROR(INDEX('Input-EWEMs'!R$52:R$61, MATCH($C60, 'Input-EWEMs'!$C$52:$C$61, 0)),'Input-EWEMs'!R28))</f>
        <v/>
      </c>
      <c r="P60" s="158" t="str">
        <f>IF('Input-EWEMs'!S28="", "", IFERROR(INDEX('Input-EWEMs'!S$52:S$61, MATCH($C60, 'Input-EWEMs'!$C$52:$C$61, 0)),'Input-EWEMs'!S28))</f>
        <v/>
      </c>
      <c r="Q60" s="159">
        <f>IF('Input-EWEMs'!AD28="", "", IFERROR(INDEX('Input-EWEMs'!AD$52:AD$61, MATCH($C60, 'Input-EWEMs'!$C$52:$C$61, 0)),'Input-EWEMs'!AD28))</f>
        <v>0</v>
      </c>
      <c r="R60" s="160">
        <f>IF('Input-EWEMs'!AE28="", "", IFERROR(INDEX('Input-EWEMs'!AE$52:AE$61, MATCH($C60, 'Input-EWEMs'!$C$52:$C$61, 0)),'Input-EWEMs'!AE28))</f>
        <v>0</v>
      </c>
      <c r="S60" s="161" t="str">
        <f>IF('Input-EWEMs'!AF28="", "", IFERROR(INDEX('Input-EWEMs'!AF$52:AF$61, MATCH($C60, 'Input-EWEMs'!$C$52:$C$61, 0)),'Input-EWEMs'!AF28))</f>
        <v/>
      </c>
      <c r="T60" s="162" t="str">
        <f>IF('Input-EWEMs'!AH28="", "", IFERROR(INDEX('Input-EWEMs'!AH$52:AH$61, MATCH($C60, 'Input-EWEMs'!$C$52:$C$61, 0)),'Input-EWEMs'!AH28))</f>
        <v/>
      </c>
      <c r="U60" s="734" t="str">
        <f>IF('Input-EWEMs'!AI28="", "", IFERROR(INDEX('Input-EWEMs'!AI$52:AI$61, MATCH($C60, 'Input-EWEMs'!$C$52:$C$61, 0)),'Input-EWEMs'!AI28))</f>
        <v/>
      </c>
      <c r="V60" s="163" t="str">
        <f>IF('Input-EWEMs'!AJ28="", "", IFERROR(INDEX('Input-EWEMs'!AJ$52:AJ$61, MATCH($C60, 'Input-EWEMs'!$C$52:$C$61, 0)),'Input-EWEMs'!AJ28))</f>
        <v/>
      </c>
      <c r="W60" s="109" t="str">
        <f>IF(B60="Yes",COUNTIF(B$44:B60,"Yes"),"")</f>
        <v/>
      </c>
      <c r="X60" s="92" t="str">
        <f t="shared" si="1"/>
        <v/>
      </c>
      <c r="Y60" s="92" t="str">
        <f t="shared" si="2"/>
        <v/>
      </c>
      <c r="Z60" s="604" t="str">
        <f t="shared" si="0"/>
        <v/>
      </c>
      <c r="AA60" s="699" t="str">
        <f t="shared" si="3"/>
        <v/>
      </c>
    </row>
    <row r="61" spans="2:27" s="92" customFormat="1" ht="36" customHeight="1" x14ac:dyDescent="0.2">
      <c r="B61" s="150"/>
      <c r="C61" s="164">
        <v>18</v>
      </c>
      <c r="D61" s="165" t="str">
        <f>IF(IFERROR(MATCH($C61, 'Input-EWEMs'!$C$52:$C$61, 0),0)&gt;0,"adj.","")</f>
        <v/>
      </c>
      <c r="E61" s="804" t="str">
        <f>IF('Input-EWEMs'!F29="", "", IFERROR(INDEX('Input-EWEMs'!$F$52:$F$61, MATCH($C61, 'Input-EWEMs'!$C$52:$C$61, 0)),'Input-EWEMs'!F29))</f>
        <v/>
      </c>
      <c r="F61" s="805"/>
      <c r="G61" s="805"/>
      <c r="H61" s="688" t="str">
        <f>IF('Input-EWEMs'!D29="", "", IFERROR(INDEX('Input-EWEMs'!H$52:H$61, MATCH($C61, 'Input-EWEMs'!$C$52:$C$61, 0)),'Input-EWEMs'!H29))</f>
        <v/>
      </c>
      <c r="I61" s="689" t="str">
        <f>IF('Input-EWEMs'!D29="", "", IFERROR(INDEX('Input-EWEMs'!I$52:I$61, MATCH($C61, 'Input-EWEMs'!$C$52:$C$61, 0)),'Input-EWEMs'!I29))</f>
        <v/>
      </c>
      <c r="J61" s="153" t="str">
        <f>IF('Input-EWEMs'!M29="", "", IFERROR(INDEX('Input-EWEMs'!M$52:M$61, MATCH($C61, 'Input-EWEMs'!$C$52:$C$61, 0)),'Input-EWEMs'!M29))</f>
        <v/>
      </c>
      <c r="K61" s="154" t="str">
        <f>IF('Input-EWEMs'!N29="", "", IFERROR(INDEX('Input-EWEMs'!N$52:N$61, MATCH($C61, 'Input-EWEMs'!$C$52:$C$61, 0)),'Input-EWEMs'!N29))</f>
        <v/>
      </c>
      <c r="L61" s="155" t="str">
        <f>IF('Input-EWEMs'!O29="", "", IFERROR(INDEX('Input-EWEMs'!O$52:O$61, MATCH($C61, 'Input-EWEMs'!$C$52:$C$61, 0)),'Input-EWEMs'!O29))</f>
        <v/>
      </c>
      <c r="M61" s="158" t="str">
        <f>IF('Input-EWEMs'!P29="", "", IFERROR(INDEX('Input-EWEMs'!P$52:P$61, MATCH($C61, 'Input-EWEMs'!$C$52:$C$61, 0)),'Input-EWEMs'!P29))</f>
        <v/>
      </c>
      <c r="N61" s="157" t="str">
        <f>IF('Input-EWEMs'!Q29="", "", IFERROR(INDEX('Input-EWEMs'!Q$52:Q$61, MATCH($C61, 'Input-EWEMs'!$C$52:$C$61, 0)),'Input-EWEMs'!Q29))</f>
        <v/>
      </c>
      <c r="O61" s="155" t="str">
        <f>IF('Input-EWEMs'!R29="", "", IFERROR(INDEX('Input-EWEMs'!R$52:R$61, MATCH($C61, 'Input-EWEMs'!$C$52:$C$61, 0)),'Input-EWEMs'!R29))</f>
        <v/>
      </c>
      <c r="P61" s="158" t="str">
        <f>IF('Input-EWEMs'!S29="", "", IFERROR(INDEX('Input-EWEMs'!S$52:S$61, MATCH($C61, 'Input-EWEMs'!$C$52:$C$61, 0)),'Input-EWEMs'!S29))</f>
        <v/>
      </c>
      <c r="Q61" s="159">
        <f>IF('Input-EWEMs'!AD29="", "", IFERROR(INDEX('Input-EWEMs'!AD$52:AD$61, MATCH($C61, 'Input-EWEMs'!$C$52:$C$61, 0)),'Input-EWEMs'!AD29))</f>
        <v>0</v>
      </c>
      <c r="R61" s="160">
        <f>IF('Input-EWEMs'!AE29="", "", IFERROR(INDEX('Input-EWEMs'!AE$52:AE$61, MATCH($C61, 'Input-EWEMs'!$C$52:$C$61, 0)),'Input-EWEMs'!AE29))</f>
        <v>0</v>
      </c>
      <c r="S61" s="161" t="str">
        <f>IF('Input-EWEMs'!AF29="", "", IFERROR(INDEX('Input-EWEMs'!AF$52:AF$61, MATCH($C61, 'Input-EWEMs'!$C$52:$C$61, 0)),'Input-EWEMs'!AF29))</f>
        <v/>
      </c>
      <c r="T61" s="162" t="str">
        <f>IF('Input-EWEMs'!AH29="", "", IFERROR(INDEX('Input-EWEMs'!AH$52:AH$61, MATCH($C61, 'Input-EWEMs'!$C$52:$C$61, 0)),'Input-EWEMs'!AH29))</f>
        <v/>
      </c>
      <c r="U61" s="734" t="str">
        <f>IF('Input-EWEMs'!AI29="", "", IFERROR(INDEX('Input-EWEMs'!AI$52:AI$61, MATCH($C61, 'Input-EWEMs'!$C$52:$C$61, 0)),'Input-EWEMs'!AI29))</f>
        <v/>
      </c>
      <c r="V61" s="163" t="str">
        <f>IF('Input-EWEMs'!AJ29="", "", IFERROR(INDEX('Input-EWEMs'!AJ$52:AJ$61, MATCH($C61, 'Input-EWEMs'!$C$52:$C$61, 0)),'Input-EWEMs'!AJ29))</f>
        <v/>
      </c>
      <c r="W61" s="109" t="str">
        <f>IF(B61="Yes",COUNTIF(B$44:B61,"Yes"),"")</f>
        <v/>
      </c>
      <c r="X61" s="92" t="str">
        <f t="shared" si="1"/>
        <v/>
      </c>
      <c r="Y61" s="92" t="str">
        <f t="shared" si="2"/>
        <v/>
      </c>
      <c r="Z61" s="604" t="str">
        <f t="shared" si="0"/>
        <v/>
      </c>
      <c r="AA61" s="699" t="str">
        <f t="shared" si="3"/>
        <v/>
      </c>
    </row>
    <row r="62" spans="2:27" s="92" customFormat="1" ht="36" customHeight="1" x14ac:dyDescent="0.2">
      <c r="B62" s="150"/>
      <c r="C62" s="164">
        <v>19</v>
      </c>
      <c r="D62" s="165" t="str">
        <f>IF(IFERROR(MATCH($C62, 'Input-EWEMs'!$C$52:$C$61, 0),0)&gt;0,"adj.","")</f>
        <v/>
      </c>
      <c r="E62" s="804" t="str">
        <f>IF('Input-EWEMs'!F30="", "", IFERROR(INDEX('Input-EWEMs'!$F$52:$F$61, MATCH($C62, 'Input-EWEMs'!$C$52:$C$61, 0)),'Input-EWEMs'!F30))</f>
        <v/>
      </c>
      <c r="F62" s="805"/>
      <c r="G62" s="805"/>
      <c r="H62" s="688" t="str">
        <f>IF('Input-EWEMs'!D30="", "", IFERROR(INDEX('Input-EWEMs'!H$52:H$61, MATCH($C62, 'Input-EWEMs'!$C$52:$C$61, 0)),'Input-EWEMs'!H30))</f>
        <v/>
      </c>
      <c r="I62" s="689" t="str">
        <f>IF('Input-EWEMs'!D30="", "", IFERROR(INDEX('Input-EWEMs'!I$52:I$61, MATCH($C62, 'Input-EWEMs'!$C$52:$C$61, 0)),'Input-EWEMs'!I30))</f>
        <v/>
      </c>
      <c r="J62" s="153" t="str">
        <f>IF('Input-EWEMs'!M30="", "", IFERROR(INDEX('Input-EWEMs'!M$52:M$61, MATCH($C62, 'Input-EWEMs'!$C$52:$C$61, 0)),'Input-EWEMs'!M30))</f>
        <v/>
      </c>
      <c r="K62" s="154" t="str">
        <f>IF('Input-EWEMs'!N30="", "", IFERROR(INDEX('Input-EWEMs'!N$52:N$61, MATCH($C62, 'Input-EWEMs'!$C$52:$C$61, 0)),'Input-EWEMs'!N30))</f>
        <v/>
      </c>
      <c r="L62" s="155" t="str">
        <f>IF('Input-EWEMs'!O30="", "", IFERROR(INDEX('Input-EWEMs'!O$52:O$61, MATCH($C62, 'Input-EWEMs'!$C$52:$C$61, 0)),'Input-EWEMs'!O30))</f>
        <v/>
      </c>
      <c r="M62" s="158" t="str">
        <f>IF('Input-EWEMs'!P30="", "", IFERROR(INDEX('Input-EWEMs'!P$52:P$61, MATCH($C62, 'Input-EWEMs'!$C$52:$C$61, 0)),'Input-EWEMs'!P30))</f>
        <v/>
      </c>
      <c r="N62" s="157" t="str">
        <f>IF('Input-EWEMs'!Q30="", "", IFERROR(INDEX('Input-EWEMs'!Q$52:Q$61, MATCH($C62, 'Input-EWEMs'!$C$52:$C$61, 0)),'Input-EWEMs'!Q30))</f>
        <v/>
      </c>
      <c r="O62" s="155" t="str">
        <f>IF('Input-EWEMs'!R30="", "", IFERROR(INDEX('Input-EWEMs'!R$52:R$61, MATCH($C62, 'Input-EWEMs'!$C$52:$C$61, 0)),'Input-EWEMs'!R30))</f>
        <v/>
      </c>
      <c r="P62" s="158" t="str">
        <f>IF('Input-EWEMs'!S30="", "", IFERROR(INDEX('Input-EWEMs'!S$52:S$61, MATCH($C62, 'Input-EWEMs'!$C$52:$C$61, 0)),'Input-EWEMs'!S30))</f>
        <v/>
      </c>
      <c r="Q62" s="159">
        <f>IF('Input-EWEMs'!AD30="", "", IFERROR(INDEX('Input-EWEMs'!AD$52:AD$61, MATCH($C62, 'Input-EWEMs'!$C$52:$C$61, 0)),'Input-EWEMs'!AD30))</f>
        <v>0</v>
      </c>
      <c r="R62" s="160">
        <f>IF('Input-EWEMs'!AE30="", "", IFERROR(INDEX('Input-EWEMs'!AE$52:AE$61, MATCH($C62, 'Input-EWEMs'!$C$52:$C$61, 0)),'Input-EWEMs'!AE30))</f>
        <v>0</v>
      </c>
      <c r="S62" s="161" t="str">
        <f>IF('Input-EWEMs'!AF30="", "", IFERROR(INDEX('Input-EWEMs'!AF$52:AF$61, MATCH($C62, 'Input-EWEMs'!$C$52:$C$61, 0)),'Input-EWEMs'!AF30))</f>
        <v/>
      </c>
      <c r="T62" s="162" t="str">
        <f>IF('Input-EWEMs'!AH30="", "", IFERROR(INDEX('Input-EWEMs'!AH$52:AH$61, MATCH($C62, 'Input-EWEMs'!$C$52:$C$61, 0)),'Input-EWEMs'!AH30))</f>
        <v/>
      </c>
      <c r="U62" s="734" t="str">
        <f>IF('Input-EWEMs'!AI30="", "", IFERROR(INDEX('Input-EWEMs'!AI$52:AI$61, MATCH($C62, 'Input-EWEMs'!$C$52:$C$61, 0)),'Input-EWEMs'!AI30))</f>
        <v/>
      </c>
      <c r="V62" s="163" t="str">
        <f>IF('Input-EWEMs'!AJ30="", "", IFERROR(INDEX('Input-EWEMs'!AJ$52:AJ$61, MATCH($C62, 'Input-EWEMs'!$C$52:$C$61, 0)),'Input-EWEMs'!AJ30))</f>
        <v/>
      </c>
      <c r="W62" s="109" t="str">
        <f>IF(B62="Yes",COUNTIF(B$44:B62,"Yes"),"")</f>
        <v/>
      </c>
      <c r="X62" s="92" t="str">
        <f t="shared" si="1"/>
        <v/>
      </c>
      <c r="Y62" s="92" t="str">
        <f t="shared" si="2"/>
        <v/>
      </c>
      <c r="Z62" s="604" t="str">
        <f t="shared" si="0"/>
        <v/>
      </c>
      <c r="AA62" s="699" t="str">
        <f t="shared" si="3"/>
        <v/>
      </c>
    </row>
    <row r="63" spans="2:27" s="92" customFormat="1" ht="36" customHeight="1" x14ac:dyDescent="0.2">
      <c r="B63" s="150"/>
      <c r="C63" s="164">
        <v>20</v>
      </c>
      <c r="D63" s="165" t="str">
        <f>IF(IFERROR(MATCH($C63, 'Input-EWEMs'!$C$52:$C$61, 0),0)&gt;0,"adj.","")</f>
        <v/>
      </c>
      <c r="E63" s="804" t="str">
        <f>IF('Input-EWEMs'!F31="", "", IFERROR(INDEX('Input-EWEMs'!$F$52:$F$61, MATCH($C63, 'Input-EWEMs'!$C$52:$C$61, 0)),'Input-EWEMs'!F31))</f>
        <v/>
      </c>
      <c r="F63" s="805"/>
      <c r="G63" s="805"/>
      <c r="H63" s="688" t="str">
        <f>IF('Input-EWEMs'!D31="", "", IFERROR(INDEX('Input-EWEMs'!H$52:H$61, MATCH($C63, 'Input-EWEMs'!$C$52:$C$61, 0)),'Input-EWEMs'!H31))</f>
        <v/>
      </c>
      <c r="I63" s="689" t="str">
        <f>IF('Input-EWEMs'!D31="", "", IFERROR(INDEX('Input-EWEMs'!I$52:I$61, MATCH($C63, 'Input-EWEMs'!$C$52:$C$61, 0)),'Input-EWEMs'!I31))</f>
        <v/>
      </c>
      <c r="J63" s="153" t="str">
        <f>IF('Input-EWEMs'!M31="", "", IFERROR(INDEX('Input-EWEMs'!M$52:M$61, MATCH($C63, 'Input-EWEMs'!$C$52:$C$61, 0)),'Input-EWEMs'!M31))</f>
        <v/>
      </c>
      <c r="K63" s="154" t="str">
        <f>IF('Input-EWEMs'!N31="", "", IFERROR(INDEX('Input-EWEMs'!N$52:N$61, MATCH($C63, 'Input-EWEMs'!$C$52:$C$61, 0)),'Input-EWEMs'!N31))</f>
        <v/>
      </c>
      <c r="L63" s="155" t="str">
        <f>IF('Input-EWEMs'!O31="", "", IFERROR(INDEX('Input-EWEMs'!O$52:O$61, MATCH($C63, 'Input-EWEMs'!$C$52:$C$61, 0)),'Input-EWEMs'!O31))</f>
        <v/>
      </c>
      <c r="M63" s="158" t="str">
        <f>IF('Input-EWEMs'!P31="", "", IFERROR(INDEX('Input-EWEMs'!P$52:P$61, MATCH($C63, 'Input-EWEMs'!$C$52:$C$61, 0)),'Input-EWEMs'!P31))</f>
        <v/>
      </c>
      <c r="N63" s="157" t="str">
        <f>IF('Input-EWEMs'!Q31="", "", IFERROR(INDEX('Input-EWEMs'!Q$52:Q$61, MATCH($C63, 'Input-EWEMs'!$C$52:$C$61, 0)),'Input-EWEMs'!Q31))</f>
        <v/>
      </c>
      <c r="O63" s="155" t="str">
        <f>IF('Input-EWEMs'!R31="", "", IFERROR(INDEX('Input-EWEMs'!R$52:R$61, MATCH($C63, 'Input-EWEMs'!$C$52:$C$61, 0)),'Input-EWEMs'!R31))</f>
        <v/>
      </c>
      <c r="P63" s="158" t="str">
        <f>IF('Input-EWEMs'!S31="", "", IFERROR(INDEX('Input-EWEMs'!S$52:S$61, MATCH($C63, 'Input-EWEMs'!$C$52:$C$61, 0)),'Input-EWEMs'!S31))</f>
        <v/>
      </c>
      <c r="Q63" s="159">
        <f>IF('Input-EWEMs'!AD31="", "", IFERROR(INDEX('Input-EWEMs'!AD$52:AD$61, MATCH($C63, 'Input-EWEMs'!$C$52:$C$61, 0)),'Input-EWEMs'!AD31))</f>
        <v>0</v>
      </c>
      <c r="R63" s="160">
        <f>IF('Input-EWEMs'!AE31="", "", IFERROR(INDEX('Input-EWEMs'!AE$52:AE$61, MATCH($C63, 'Input-EWEMs'!$C$52:$C$61, 0)),'Input-EWEMs'!AE31))</f>
        <v>0</v>
      </c>
      <c r="S63" s="161" t="str">
        <f>IF('Input-EWEMs'!AF31="", "", IFERROR(INDEX('Input-EWEMs'!AF$52:AF$61, MATCH($C63, 'Input-EWEMs'!$C$52:$C$61, 0)),'Input-EWEMs'!AF31))</f>
        <v/>
      </c>
      <c r="T63" s="162" t="str">
        <f>IF('Input-EWEMs'!AH31="", "", IFERROR(INDEX('Input-EWEMs'!AH$52:AH$61, MATCH($C63, 'Input-EWEMs'!$C$52:$C$61, 0)),'Input-EWEMs'!AH31))</f>
        <v/>
      </c>
      <c r="U63" s="734" t="str">
        <f>IF('Input-EWEMs'!AI31="", "", IFERROR(INDEX('Input-EWEMs'!AI$52:AI$61, MATCH($C63, 'Input-EWEMs'!$C$52:$C$61, 0)),'Input-EWEMs'!AI31))</f>
        <v/>
      </c>
      <c r="V63" s="163" t="str">
        <f>IF('Input-EWEMs'!AJ31="", "", IFERROR(INDEX('Input-EWEMs'!AJ$52:AJ$61, MATCH($C63, 'Input-EWEMs'!$C$52:$C$61, 0)),'Input-EWEMs'!AJ31))</f>
        <v/>
      </c>
      <c r="W63" s="109" t="str">
        <f>IF(B63="Yes",COUNTIF(B$44:B63,"Yes"),"")</f>
        <v/>
      </c>
      <c r="X63" s="92" t="str">
        <f t="shared" si="1"/>
        <v/>
      </c>
      <c r="Y63" s="92" t="str">
        <f t="shared" si="2"/>
        <v/>
      </c>
      <c r="Z63" s="604" t="str">
        <f t="shared" si="0"/>
        <v/>
      </c>
      <c r="AA63" s="699" t="str">
        <f t="shared" si="3"/>
        <v/>
      </c>
    </row>
    <row r="64" spans="2:27" s="92" customFormat="1" ht="36" customHeight="1" x14ac:dyDescent="0.2">
      <c r="B64" s="150"/>
      <c r="C64" s="164">
        <v>21</v>
      </c>
      <c r="D64" s="165" t="str">
        <f>IF(IFERROR(MATCH($C64, 'Input-EWEMs'!$C$52:$C$61, 0),0)&gt;0,"adj.","")</f>
        <v/>
      </c>
      <c r="E64" s="804" t="str">
        <f>IF('Input-EWEMs'!F32="", "", IFERROR(INDEX('Input-EWEMs'!$F$52:$F$61, MATCH($C64, 'Input-EWEMs'!$C$52:$C$61, 0)),'Input-EWEMs'!F32))</f>
        <v/>
      </c>
      <c r="F64" s="805"/>
      <c r="G64" s="805"/>
      <c r="H64" s="688" t="str">
        <f>IF('Input-EWEMs'!D32="", "", IFERROR(INDEX('Input-EWEMs'!H$52:H$61, MATCH($C64, 'Input-EWEMs'!$C$52:$C$61, 0)),'Input-EWEMs'!H32))</f>
        <v/>
      </c>
      <c r="I64" s="689" t="str">
        <f>IF('Input-EWEMs'!D32="", "", IFERROR(INDEX('Input-EWEMs'!I$52:I$61, MATCH($C64, 'Input-EWEMs'!$C$52:$C$61, 0)),'Input-EWEMs'!I32))</f>
        <v/>
      </c>
      <c r="J64" s="153" t="str">
        <f>IF('Input-EWEMs'!M32="", "", IFERROR(INDEX('Input-EWEMs'!M$52:M$61, MATCH($C64, 'Input-EWEMs'!$C$52:$C$61, 0)),'Input-EWEMs'!M32))</f>
        <v/>
      </c>
      <c r="K64" s="154" t="str">
        <f>IF('Input-EWEMs'!N32="", "", IFERROR(INDEX('Input-EWEMs'!N$52:N$61, MATCH($C64, 'Input-EWEMs'!$C$52:$C$61, 0)),'Input-EWEMs'!N32))</f>
        <v/>
      </c>
      <c r="L64" s="155" t="str">
        <f>IF('Input-EWEMs'!O32="", "", IFERROR(INDEX('Input-EWEMs'!O$52:O$61, MATCH($C64, 'Input-EWEMs'!$C$52:$C$61, 0)),'Input-EWEMs'!O32))</f>
        <v/>
      </c>
      <c r="M64" s="158" t="str">
        <f>IF('Input-EWEMs'!P32="", "", IFERROR(INDEX('Input-EWEMs'!P$52:P$61, MATCH($C64, 'Input-EWEMs'!$C$52:$C$61, 0)),'Input-EWEMs'!P32))</f>
        <v/>
      </c>
      <c r="N64" s="157" t="str">
        <f>IF('Input-EWEMs'!Q32="", "", IFERROR(INDEX('Input-EWEMs'!Q$52:Q$61, MATCH($C64, 'Input-EWEMs'!$C$52:$C$61, 0)),'Input-EWEMs'!Q32))</f>
        <v/>
      </c>
      <c r="O64" s="155" t="str">
        <f>IF('Input-EWEMs'!R32="", "", IFERROR(INDEX('Input-EWEMs'!R$52:R$61, MATCH($C64, 'Input-EWEMs'!$C$52:$C$61, 0)),'Input-EWEMs'!R32))</f>
        <v/>
      </c>
      <c r="P64" s="158" t="str">
        <f>IF('Input-EWEMs'!S32="", "", IFERROR(INDEX('Input-EWEMs'!S$52:S$61, MATCH($C64, 'Input-EWEMs'!$C$52:$C$61, 0)),'Input-EWEMs'!S32))</f>
        <v/>
      </c>
      <c r="Q64" s="159">
        <f>IF('Input-EWEMs'!AD32="", "", IFERROR(INDEX('Input-EWEMs'!AD$52:AD$61, MATCH($C64, 'Input-EWEMs'!$C$52:$C$61, 0)),'Input-EWEMs'!AD32))</f>
        <v>0</v>
      </c>
      <c r="R64" s="160">
        <f>IF('Input-EWEMs'!AE32="", "", IFERROR(INDEX('Input-EWEMs'!AE$52:AE$61, MATCH($C64, 'Input-EWEMs'!$C$52:$C$61, 0)),'Input-EWEMs'!AE32))</f>
        <v>0</v>
      </c>
      <c r="S64" s="161" t="str">
        <f>IF('Input-EWEMs'!AF32="", "", IFERROR(INDEX('Input-EWEMs'!AF$52:AF$61, MATCH($C64, 'Input-EWEMs'!$C$52:$C$61, 0)),'Input-EWEMs'!AF32))</f>
        <v/>
      </c>
      <c r="T64" s="162" t="str">
        <f>IF('Input-EWEMs'!AH32="", "", IFERROR(INDEX('Input-EWEMs'!AH$52:AH$61, MATCH($C64, 'Input-EWEMs'!$C$52:$C$61, 0)),'Input-EWEMs'!AH32))</f>
        <v/>
      </c>
      <c r="U64" s="734" t="str">
        <f>IF('Input-EWEMs'!AI32="", "", IFERROR(INDEX('Input-EWEMs'!AI$52:AI$61, MATCH($C64, 'Input-EWEMs'!$C$52:$C$61, 0)),'Input-EWEMs'!AI32))</f>
        <v/>
      </c>
      <c r="V64" s="163" t="str">
        <f>IF('Input-EWEMs'!AJ32="", "", IFERROR(INDEX('Input-EWEMs'!AJ$52:AJ$61, MATCH($C64, 'Input-EWEMs'!$C$52:$C$61, 0)),'Input-EWEMs'!AJ32))</f>
        <v/>
      </c>
      <c r="W64" s="109" t="str">
        <f>IF(B64="Yes",COUNTIF(B$44:B64,"Yes"),"")</f>
        <v/>
      </c>
      <c r="X64" s="92" t="str">
        <f t="shared" si="1"/>
        <v/>
      </c>
      <c r="Y64" s="92" t="str">
        <f t="shared" si="2"/>
        <v/>
      </c>
      <c r="Z64" s="604" t="str">
        <f t="shared" si="0"/>
        <v/>
      </c>
      <c r="AA64" s="699" t="str">
        <f t="shared" si="3"/>
        <v/>
      </c>
    </row>
    <row r="65" spans="2:27" s="92" customFormat="1" ht="36" customHeight="1" x14ac:dyDescent="0.2">
      <c r="B65" s="150"/>
      <c r="C65" s="164">
        <v>22</v>
      </c>
      <c r="D65" s="165" t="str">
        <f>IF(IFERROR(MATCH($C65, 'Input-EWEMs'!$C$52:$C$61, 0),0)&gt;0,"adj.","")</f>
        <v/>
      </c>
      <c r="E65" s="804" t="str">
        <f>IF('Input-EWEMs'!F33="", "", IFERROR(INDEX('Input-EWEMs'!$F$52:$F$61, MATCH($C65, 'Input-EWEMs'!$C$52:$C$61, 0)),'Input-EWEMs'!F33))</f>
        <v/>
      </c>
      <c r="F65" s="805"/>
      <c r="G65" s="805"/>
      <c r="H65" s="688" t="str">
        <f>IF('Input-EWEMs'!D33="", "", IFERROR(INDEX('Input-EWEMs'!H$52:H$61, MATCH($C65, 'Input-EWEMs'!$C$52:$C$61, 0)),'Input-EWEMs'!H33))</f>
        <v/>
      </c>
      <c r="I65" s="689" t="str">
        <f>IF('Input-EWEMs'!D33="", "", IFERROR(INDEX('Input-EWEMs'!I$52:I$61, MATCH($C65, 'Input-EWEMs'!$C$52:$C$61, 0)),'Input-EWEMs'!I33))</f>
        <v/>
      </c>
      <c r="J65" s="153" t="str">
        <f>IF('Input-EWEMs'!M33="", "", IFERROR(INDEX('Input-EWEMs'!M$52:M$61, MATCH($C65, 'Input-EWEMs'!$C$52:$C$61, 0)),'Input-EWEMs'!M33))</f>
        <v/>
      </c>
      <c r="K65" s="154" t="str">
        <f>IF('Input-EWEMs'!N33="", "", IFERROR(INDEX('Input-EWEMs'!N$52:N$61, MATCH($C65, 'Input-EWEMs'!$C$52:$C$61, 0)),'Input-EWEMs'!N33))</f>
        <v/>
      </c>
      <c r="L65" s="155" t="str">
        <f>IF('Input-EWEMs'!O33="", "", IFERROR(INDEX('Input-EWEMs'!O$52:O$61, MATCH($C65, 'Input-EWEMs'!$C$52:$C$61, 0)),'Input-EWEMs'!O33))</f>
        <v/>
      </c>
      <c r="M65" s="158" t="str">
        <f>IF('Input-EWEMs'!P33="", "", IFERROR(INDEX('Input-EWEMs'!P$52:P$61, MATCH($C65, 'Input-EWEMs'!$C$52:$C$61, 0)),'Input-EWEMs'!P33))</f>
        <v/>
      </c>
      <c r="N65" s="157" t="str">
        <f>IF('Input-EWEMs'!Q33="", "", IFERROR(INDEX('Input-EWEMs'!Q$52:Q$61, MATCH($C65, 'Input-EWEMs'!$C$52:$C$61, 0)),'Input-EWEMs'!Q33))</f>
        <v/>
      </c>
      <c r="O65" s="155" t="str">
        <f>IF('Input-EWEMs'!R33="", "", IFERROR(INDEX('Input-EWEMs'!R$52:R$61, MATCH($C65, 'Input-EWEMs'!$C$52:$C$61, 0)),'Input-EWEMs'!R33))</f>
        <v/>
      </c>
      <c r="P65" s="158" t="str">
        <f>IF('Input-EWEMs'!S33="", "", IFERROR(INDEX('Input-EWEMs'!S$52:S$61, MATCH($C65, 'Input-EWEMs'!$C$52:$C$61, 0)),'Input-EWEMs'!S33))</f>
        <v/>
      </c>
      <c r="Q65" s="159">
        <f>IF('Input-EWEMs'!AD33="", "", IFERROR(INDEX('Input-EWEMs'!AD$52:AD$61, MATCH($C65, 'Input-EWEMs'!$C$52:$C$61, 0)),'Input-EWEMs'!AD33))</f>
        <v>0</v>
      </c>
      <c r="R65" s="160">
        <f>IF('Input-EWEMs'!AE33="", "", IFERROR(INDEX('Input-EWEMs'!AE$52:AE$61, MATCH($C65, 'Input-EWEMs'!$C$52:$C$61, 0)),'Input-EWEMs'!AE33))</f>
        <v>0</v>
      </c>
      <c r="S65" s="161" t="str">
        <f>IF('Input-EWEMs'!AF33="", "", IFERROR(INDEX('Input-EWEMs'!AF$52:AF$61, MATCH($C65, 'Input-EWEMs'!$C$52:$C$61, 0)),'Input-EWEMs'!AF33))</f>
        <v/>
      </c>
      <c r="T65" s="162" t="str">
        <f>IF('Input-EWEMs'!AH33="", "", IFERROR(INDEX('Input-EWEMs'!AH$52:AH$61, MATCH($C65, 'Input-EWEMs'!$C$52:$C$61, 0)),'Input-EWEMs'!AH33))</f>
        <v/>
      </c>
      <c r="U65" s="734" t="str">
        <f>IF('Input-EWEMs'!AI33="", "", IFERROR(INDEX('Input-EWEMs'!AI$52:AI$61, MATCH($C65, 'Input-EWEMs'!$C$52:$C$61, 0)),'Input-EWEMs'!AI33))</f>
        <v/>
      </c>
      <c r="V65" s="163" t="str">
        <f>IF('Input-EWEMs'!AJ33="", "", IFERROR(INDEX('Input-EWEMs'!AJ$52:AJ$61, MATCH($C65, 'Input-EWEMs'!$C$52:$C$61, 0)),'Input-EWEMs'!AJ33))</f>
        <v/>
      </c>
      <c r="W65" s="109" t="str">
        <f>IF(B65="Yes",COUNTIF(B$44:B65,"Yes"),"")</f>
        <v/>
      </c>
      <c r="X65" s="92" t="str">
        <f t="shared" si="1"/>
        <v/>
      </c>
      <c r="Y65" s="92" t="str">
        <f t="shared" si="2"/>
        <v/>
      </c>
      <c r="Z65" s="604" t="str">
        <f t="shared" si="0"/>
        <v/>
      </c>
      <c r="AA65" s="699" t="str">
        <f t="shared" si="3"/>
        <v/>
      </c>
    </row>
    <row r="66" spans="2:27" s="92" customFormat="1" ht="36" customHeight="1" x14ac:dyDescent="0.2">
      <c r="B66" s="150"/>
      <c r="C66" s="164">
        <v>23</v>
      </c>
      <c r="D66" s="165" t="str">
        <f>IF(IFERROR(MATCH($C66, 'Input-EWEMs'!$C$52:$C$61, 0),0)&gt;0,"adj.","")</f>
        <v/>
      </c>
      <c r="E66" s="804" t="str">
        <f>IF('Input-EWEMs'!F34="", "", IFERROR(INDEX('Input-EWEMs'!$F$52:$F$61, MATCH($C66, 'Input-EWEMs'!$C$52:$C$61, 0)),'Input-EWEMs'!F34))</f>
        <v/>
      </c>
      <c r="F66" s="805"/>
      <c r="G66" s="805"/>
      <c r="H66" s="688" t="str">
        <f>IF('Input-EWEMs'!D34="", "", IFERROR(INDEX('Input-EWEMs'!H$52:H$61, MATCH($C66, 'Input-EWEMs'!$C$52:$C$61, 0)),'Input-EWEMs'!H34))</f>
        <v/>
      </c>
      <c r="I66" s="689" t="str">
        <f>IF('Input-EWEMs'!D34="", "", IFERROR(INDEX('Input-EWEMs'!I$52:I$61, MATCH($C66, 'Input-EWEMs'!$C$52:$C$61, 0)),'Input-EWEMs'!I34))</f>
        <v/>
      </c>
      <c r="J66" s="153" t="str">
        <f>IF('Input-EWEMs'!M34="", "", IFERROR(INDEX('Input-EWEMs'!M$52:M$61, MATCH($C66, 'Input-EWEMs'!$C$52:$C$61, 0)),'Input-EWEMs'!M34))</f>
        <v/>
      </c>
      <c r="K66" s="154" t="str">
        <f>IF('Input-EWEMs'!N34="", "", IFERROR(INDEX('Input-EWEMs'!N$52:N$61, MATCH($C66, 'Input-EWEMs'!$C$52:$C$61, 0)),'Input-EWEMs'!N34))</f>
        <v/>
      </c>
      <c r="L66" s="155" t="str">
        <f>IF('Input-EWEMs'!O34="", "", IFERROR(INDEX('Input-EWEMs'!O$52:O$61, MATCH($C66, 'Input-EWEMs'!$C$52:$C$61, 0)),'Input-EWEMs'!O34))</f>
        <v/>
      </c>
      <c r="M66" s="158" t="str">
        <f>IF('Input-EWEMs'!P34="", "", IFERROR(INDEX('Input-EWEMs'!P$52:P$61, MATCH($C66, 'Input-EWEMs'!$C$52:$C$61, 0)),'Input-EWEMs'!P34))</f>
        <v/>
      </c>
      <c r="N66" s="157" t="str">
        <f>IF('Input-EWEMs'!Q34="", "", IFERROR(INDEX('Input-EWEMs'!Q$52:Q$61, MATCH($C66, 'Input-EWEMs'!$C$52:$C$61, 0)),'Input-EWEMs'!Q34))</f>
        <v/>
      </c>
      <c r="O66" s="155" t="str">
        <f>IF('Input-EWEMs'!R34="", "", IFERROR(INDEX('Input-EWEMs'!R$52:R$61, MATCH($C66, 'Input-EWEMs'!$C$52:$C$61, 0)),'Input-EWEMs'!R34))</f>
        <v/>
      </c>
      <c r="P66" s="158" t="str">
        <f>IF('Input-EWEMs'!S34="", "", IFERROR(INDEX('Input-EWEMs'!S$52:S$61, MATCH($C66, 'Input-EWEMs'!$C$52:$C$61, 0)),'Input-EWEMs'!S34))</f>
        <v/>
      </c>
      <c r="Q66" s="159">
        <f>IF('Input-EWEMs'!AD34="", "", IFERROR(INDEX('Input-EWEMs'!AD$52:AD$61, MATCH($C66, 'Input-EWEMs'!$C$52:$C$61, 0)),'Input-EWEMs'!AD34))</f>
        <v>0</v>
      </c>
      <c r="R66" s="160">
        <f>IF('Input-EWEMs'!AE34="", "", IFERROR(INDEX('Input-EWEMs'!AE$52:AE$61, MATCH($C66, 'Input-EWEMs'!$C$52:$C$61, 0)),'Input-EWEMs'!AE34))</f>
        <v>0</v>
      </c>
      <c r="S66" s="161" t="str">
        <f>IF('Input-EWEMs'!AF34="", "", IFERROR(INDEX('Input-EWEMs'!AF$52:AF$61, MATCH($C66, 'Input-EWEMs'!$C$52:$C$61, 0)),'Input-EWEMs'!AF34))</f>
        <v/>
      </c>
      <c r="T66" s="162" t="str">
        <f>IF('Input-EWEMs'!AH34="", "", IFERROR(INDEX('Input-EWEMs'!AH$52:AH$61, MATCH($C66, 'Input-EWEMs'!$C$52:$C$61, 0)),'Input-EWEMs'!AH34))</f>
        <v/>
      </c>
      <c r="U66" s="734" t="str">
        <f>IF('Input-EWEMs'!AI34="", "", IFERROR(INDEX('Input-EWEMs'!AI$52:AI$61, MATCH($C66, 'Input-EWEMs'!$C$52:$C$61, 0)),'Input-EWEMs'!AI34))</f>
        <v/>
      </c>
      <c r="V66" s="163" t="str">
        <f>IF('Input-EWEMs'!AJ34="", "", IFERROR(INDEX('Input-EWEMs'!AJ$52:AJ$61, MATCH($C66, 'Input-EWEMs'!$C$52:$C$61, 0)),'Input-EWEMs'!AJ34))</f>
        <v/>
      </c>
      <c r="W66" s="109" t="str">
        <f>IF(B66="Yes",COUNTIF(B$44:B66,"Yes"),"")</f>
        <v/>
      </c>
      <c r="X66" s="92" t="str">
        <f t="shared" si="1"/>
        <v/>
      </c>
      <c r="Y66" s="92" t="str">
        <f t="shared" si="2"/>
        <v/>
      </c>
      <c r="Z66" s="604" t="str">
        <f t="shared" si="0"/>
        <v/>
      </c>
      <c r="AA66" s="699" t="str">
        <f t="shared" si="3"/>
        <v/>
      </c>
    </row>
    <row r="67" spans="2:27" s="92" customFormat="1" ht="36" customHeight="1" x14ac:dyDescent="0.2">
      <c r="B67" s="150"/>
      <c r="C67" s="164">
        <v>24</v>
      </c>
      <c r="D67" s="165" t="str">
        <f>IF(IFERROR(MATCH($C67, 'Input-EWEMs'!$C$52:$C$61, 0),0)&gt;0,"adj.","")</f>
        <v/>
      </c>
      <c r="E67" s="804" t="str">
        <f>IF('Input-EWEMs'!F35="", "", IFERROR(INDEX('Input-EWEMs'!$F$52:$F$61, MATCH($C67, 'Input-EWEMs'!$C$52:$C$61, 0)),'Input-EWEMs'!F35))</f>
        <v/>
      </c>
      <c r="F67" s="805"/>
      <c r="G67" s="805"/>
      <c r="H67" s="688" t="str">
        <f>IF('Input-EWEMs'!D35="", "", IFERROR(INDEX('Input-EWEMs'!H$52:H$61, MATCH($C67, 'Input-EWEMs'!$C$52:$C$61, 0)),'Input-EWEMs'!H35))</f>
        <v/>
      </c>
      <c r="I67" s="689" t="str">
        <f>IF('Input-EWEMs'!D35="", "", IFERROR(INDEX('Input-EWEMs'!I$52:I$61, MATCH($C67, 'Input-EWEMs'!$C$52:$C$61, 0)),'Input-EWEMs'!I35))</f>
        <v/>
      </c>
      <c r="J67" s="153" t="str">
        <f>IF('Input-EWEMs'!M35="", "", IFERROR(INDEX('Input-EWEMs'!M$52:M$61, MATCH($C67, 'Input-EWEMs'!$C$52:$C$61, 0)),'Input-EWEMs'!M35))</f>
        <v/>
      </c>
      <c r="K67" s="154" t="str">
        <f>IF('Input-EWEMs'!N35="", "", IFERROR(INDEX('Input-EWEMs'!N$52:N$61, MATCH($C67, 'Input-EWEMs'!$C$52:$C$61, 0)),'Input-EWEMs'!N35))</f>
        <v/>
      </c>
      <c r="L67" s="155" t="str">
        <f>IF('Input-EWEMs'!O35="", "", IFERROR(INDEX('Input-EWEMs'!O$52:O$61, MATCH($C67, 'Input-EWEMs'!$C$52:$C$61, 0)),'Input-EWEMs'!O35))</f>
        <v/>
      </c>
      <c r="M67" s="158" t="str">
        <f>IF('Input-EWEMs'!P35="", "", IFERROR(INDEX('Input-EWEMs'!P$52:P$61, MATCH($C67, 'Input-EWEMs'!$C$52:$C$61, 0)),'Input-EWEMs'!P35))</f>
        <v/>
      </c>
      <c r="N67" s="157" t="str">
        <f>IF('Input-EWEMs'!Q35="", "", IFERROR(INDEX('Input-EWEMs'!Q$52:Q$61, MATCH($C67, 'Input-EWEMs'!$C$52:$C$61, 0)),'Input-EWEMs'!Q35))</f>
        <v/>
      </c>
      <c r="O67" s="155" t="str">
        <f>IF('Input-EWEMs'!R35="", "", IFERROR(INDEX('Input-EWEMs'!R$52:R$61, MATCH($C67, 'Input-EWEMs'!$C$52:$C$61, 0)),'Input-EWEMs'!R35))</f>
        <v/>
      </c>
      <c r="P67" s="158" t="str">
        <f>IF('Input-EWEMs'!S35="", "", IFERROR(INDEX('Input-EWEMs'!S$52:S$61, MATCH($C67, 'Input-EWEMs'!$C$52:$C$61, 0)),'Input-EWEMs'!S35))</f>
        <v/>
      </c>
      <c r="Q67" s="159">
        <f>IF('Input-EWEMs'!AD35="", "", IFERROR(INDEX('Input-EWEMs'!AD$52:AD$61, MATCH($C67, 'Input-EWEMs'!$C$52:$C$61, 0)),'Input-EWEMs'!AD35))</f>
        <v>0</v>
      </c>
      <c r="R67" s="160">
        <f>IF('Input-EWEMs'!AE35="", "", IFERROR(INDEX('Input-EWEMs'!AE$52:AE$61, MATCH($C67, 'Input-EWEMs'!$C$52:$C$61, 0)),'Input-EWEMs'!AE35))</f>
        <v>0</v>
      </c>
      <c r="S67" s="161" t="str">
        <f>IF('Input-EWEMs'!AF35="", "", IFERROR(INDEX('Input-EWEMs'!AF$52:AF$61, MATCH($C67, 'Input-EWEMs'!$C$52:$C$61, 0)),'Input-EWEMs'!AF35))</f>
        <v/>
      </c>
      <c r="T67" s="162" t="str">
        <f>IF('Input-EWEMs'!AH35="", "", IFERROR(INDEX('Input-EWEMs'!AH$52:AH$61, MATCH($C67, 'Input-EWEMs'!$C$52:$C$61, 0)),'Input-EWEMs'!AH35))</f>
        <v/>
      </c>
      <c r="U67" s="734" t="str">
        <f>IF('Input-EWEMs'!AI35="", "", IFERROR(INDEX('Input-EWEMs'!AI$52:AI$61, MATCH($C67, 'Input-EWEMs'!$C$52:$C$61, 0)),'Input-EWEMs'!AI35))</f>
        <v/>
      </c>
      <c r="V67" s="163" t="str">
        <f>IF('Input-EWEMs'!AJ35="", "", IFERROR(INDEX('Input-EWEMs'!AJ$52:AJ$61, MATCH($C67, 'Input-EWEMs'!$C$52:$C$61, 0)),'Input-EWEMs'!AJ35))</f>
        <v/>
      </c>
      <c r="W67" s="109" t="str">
        <f>IF(B67="Yes",COUNTIF(B$44:B67,"Yes"),"")</f>
        <v/>
      </c>
      <c r="X67" s="92" t="str">
        <f t="shared" si="1"/>
        <v/>
      </c>
      <c r="Y67" s="92" t="str">
        <f t="shared" si="2"/>
        <v/>
      </c>
      <c r="Z67" s="604" t="str">
        <f t="shared" si="0"/>
        <v/>
      </c>
      <c r="AA67" s="699" t="str">
        <f t="shared" si="3"/>
        <v/>
      </c>
    </row>
    <row r="68" spans="2:27" s="92" customFormat="1" ht="36" customHeight="1" x14ac:dyDescent="0.2">
      <c r="B68" s="150"/>
      <c r="C68" s="164">
        <v>25</v>
      </c>
      <c r="D68" s="165" t="str">
        <f>IF(IFERROR(MATCH($C68, 'Input-EWEMs'!$C$52:$C$61, 0),0)&gt;0,"adj.","")</f>
        <v/>
      </c>
      <c r="E68" s="804" t="str">
        <f>IF('Input-EWEMs'!F36="", "", IFERROR(INDEX('Input-EWEMs'!$F$52:$F$61, MATCH($C68, 'Input-EWEMs'!$C$52:$C$61, 0)),'Input-EWEMs'!F36))</f>
        <v/>
      </c>
      <c r="F68" s="805"/>
      <c r="G68" s="805"/>
      <c r="H68" s="688" t="str">
        <f>IF('Input-EWEMs'!D36="", "", IFERROR(INDEX('Input-EWEMs'!H$52:H$61, MATCH($C68, 'Input-EWEMs'!$C$52:$C$61, 0)),'Input-EWEMs'!H36))</f>
        <v/>
      </c>
      <c r="I68" s="689" t="str">
        <f>IF('Input-EWEMs'!D36="", "", IFERROR(INDEX('Input-EWEMs'!I$52:I$61, MATCH($C68, 'Input-EWEMs'!$C$52:$C$61, 0)),'Input-EWEMs'!I36))</f>
        <v/>
      </c>
      <c r="J68" s="153" t="str">
        <f>IF('Input-EWEMs'!M36="", "", IFERROR(INDEX('Input-EWEMs'!M$52:M$61, MATCH($C68, 'Input-EWEMs'!$C$52:$C$61, 0)),'Input-EWEMs'!M36))</f>
        <v/>
      </c>
      <c r="K68" s="154" t="str">
        <f>IF('Input-EWEMs'!N36="", "", IFERROR(INDEX('Input-EWEMs'!N$52:N$61, MATCH($C68, 'Input-EWEMs'!$C$52:$C$61, 0)),'Input-EWEMs'!N36))</f>
        <v/>
      </c>
      <c r="L68" s="155" t="str">
        <f>IF('Input-EWEMs'!O36="", "", IFERROR(INDEX('Input-EWEMs'!O$52:O$61, MATCH($C68, 'Input-EWEMs'!$C$52:$C$61, 0)),'Input-EWEMs'!O36))</f>
        <v/>
      </c>
      <c r="M68" s="158" t="str">
        <f>IF('Input-EWEMs'!P36="", "", IFERROR(INDEX('Input-EWEMs'!P$52:P$61, MATCH($C68, 'Input-EWEMs'!$C$52:$C$61, 0)),'Input-EWEMs'!P36))</f>
        <v/>
      </c>
      <c r="N68" s="157" t="str">
        <f>IF('Input-EWEMs'!Q36="", "", IFERROR(INDEX('Input-EWEMs'!Q$52:Q$61, MATCH($C68, 'Input-EWEMs'!$C$52:$C$61, 0)),'Input-EWEMs'!Q36))</f>
        <v/>
      </c>
      <c r="O68" s="155" t="str">
        <f>IF('Input-EWEMs'!R36="", "", IFERROR(INDEX('Input-EWEMs'!R$52:R$61, MATCH($C68, 'Input-EWEMs'!$C$52:$C$61, 0)),'Input-EWEMs'!R36))</f>
        <v/>
      </c>
      <c r="P68" s="158" t="str">
        <f>IF('Input-EWEMs'!S36="", "", IFERROR(INDEX('Input-EWEMs'!S$52:S$61, MATCH($C68, 'Input-EWEMs'!$C$52:$C$61, 0)),'Input-EWEMs'!S36))</f>
        <v/>
      </c>
      <c r="Q68" s="159">
        <f>IF('Input-EWEMs'!AD36="", "", IFERROR(INDEX('Input-EWEMs'!AD$52:AD$61, MATCH($C68, 'Input-EWEMs'!$C$52:$C$61, 0)),'Input-EWEMs'!AD36))</f>
        <v>0</v>
      </c>
      <c r="R68" s="160">
        <f>IF('Input-EWEMs'!AE36="", "", IFERROR(INDEX('Input-EWEMs'!AE$52:AE$61, MATCH($C68, 'Input-EWEMs'!$C$52:$C$61, 0)),'Input-EWEMs'!AE36))</f>
        <v>0</v>
      </c>
      <c r="S68" s="161" t="str">
        <f>IF('Input-EWEMs'!AF36="", "", IFERROR(INDEX('Input-EWEMs'!AF$52:AF$61, MATCH($C68, 'Input-EWEMs'!$C$52:$C$61, 0)),'Input-EWEMs'!AF36))</f>
        <v/>
      </c>
      <c r="T68" s="162" t="str">
        <f>IF('Input-EWEMs'!AH36="", "", IFERROR(INDEX('Input-EWEMs'!AH$52:AH$61, MATCH($C68, 'Input-EWEMs'!$C$52:$C$61, 0)),'Input-EWEMs'!AH36))</f>
        <v/>
      </c>
      <c r="U68" s="734" t="str">
        <f>IF('Input-EWEMs'!AI36="", "", IFERROR(INDEX('Input-EWEMs'!AI$52:AI$61, MATCH($C68, 'Input-EWEMs'!$C$52:$C$61, 0)),'Input-EWEMs'!AI36))</f>
        <v/>
      </c>
      <c r="V68" s="163" t="str">
        <f>IF('Input-EWEMs'!AJ36="", "", IFERROR(INDEX('Input-EWEMs'!AJ$52:AJ$61, MATCH($C68, 'Input-EWEMs'!$C$52:$C$61, 0)),'Input-EWEMs'!AJ36))</f>
        <v/>
      </c>
      <c r="W68" s="109" t="str">
        <f>IF(B68="Yes",COUNTIF(B$44:B68,"Yes"),"")</f>
        <v/>
      </c>
      <c r="X68" s="92" t="str">
        <f t="shared" si="1"/>
        <v/>
      </c>
      <c r="Y68" s="92" t="str">
        <f t="shared" si="2"/>
        <v/>
      </c>
      <c r="Z68" s="604" t="str">
        <f t="shared" si="0"/>
        <v/>
      </c>
      <c r="AA68" s="699" t="str">
        <f t="shared" si="3"/>
        <v/>
      </c>
    </row>
    <row r="69" spans="2:27" s="92" customFormat="1" ht="36" customHeight="1" x14ac:dyDescent="0.2">
      <c r="B69" s="150"/>
      <c r="C69" s="164">
        <v>26</v>
      </c>
      <c r="D69" s="165" t="str">
        <f>IF(IFERROR(MATCH($C69, 'Input-EWEMs'!$C$52:$C$61, 0),0)&gt;0,"adj.","")</f>
        <v/>
      </c>
      <c r="E69" s="804" t="str">
        <f>IF('Input-EWEMs'!F37="", "", IFERROR(INDEX('Input-EWEMs'!$F$52:$F$61, MATCH($C69, 'Input-EWEMs'!$C$52:$C$61, 0)),'Input-EWEMs'!F37))</f>
        <v/>
      </c>
      <c r="F69" s="805"/>
      <c r="G69" s="805"/>
      <c r="H69" s="688" t="str">
        <f>IF('Input-EWEMs'!D37="", "", IFERROR(INDEX('Input-EWEMs'!H$52:H$61, MATCH($C69, 'Input-EWEMs'!$C$52:$C$61, 0)),'Input-EWEMs'!H37))</f>
        <v/>
      </c>
      <c r="I69" s="689" t="str">
        <f>IF('Input-EWEMs'!D37="", "", IFERROR(INDEX('Input-EWEMs'!I$52:I$61, MATCH($C69, 'Input-EWEMs'!$C$52:$C$61, 0)),'Input-EWEMs'!I37))</f>
        <v/>
      </c>
      <c r="J69" s="153" t="str">
        <f>IF('Input-EWEMs'!M37="", "", IFERROR(INDEX('Input-EWEMs'!M$52:M$61, MATCH($C69, 'Input-EWEMs'!$C$52:$C$61, 0)),'Input-EWEMs'!M37))</f>
        <v/>
      </c>
      <c r="K69" s="154" t="str">
        <f>IF('Input-EWEMs'!N37="", "", IFERROR(INDEX('Input-EWEMs'!N$52:N$61, MATCH($C69, 'Input-EWEMs'!$C$52:$C$61, 0)),'Input-EWEMs'!N37))</f>
        <v/>
      </c>
      <c r="L69" s="155" t="str">
        <f>IF('Input-EWEMs'!O37="", "", IFERROR(INDEX('Input-EWEMs'!O$52:O$61, MATCH($C69, 'Input-EWEMs'!$C$52:$C$61, 0)),'Input-EWEMs'!O37))</f>
        <v/>
      </c>
      <c r="M69" s="158" t="str">
        <f>IF('Input-EWEMs'!P37="", "", IFERROR(INDEX('Input-EWEMs'!P$52:P$61, MATCH($C69, 'Input-EWEMs'!$C$52:$C$61, 0)),'Input-EWEMs'!P37))</f>
        <v/>
      </c>
      <c r="N69" s="157" t="str">
        <f>IF('Input-EWEMs'!Q37="", "", IFERROR(INDEX('Input-EWEMs'!Q$52:Q$61, MATCH($C69, 'Input-EWEMs'!$C$52:$C$61, 0)),'Input-EWEMs'!Q37))</f>
        <v/>
      </c>
      <c r="O69" s="155" t="str">
        <f>IF('Input-EWEMs'!R37="", "", IFERROR(INDEX('Input-EWEMs'!R$52:R$61, MATCH($C69, 'Input-EWEMs'!$C$52:$C$61, 0)),'Input-EWEMs'!R37))</f>
        <v/>
      </c>
      <c r="P69" s="158" t="str">
        <f>IF('Input-EWEMs'!S37="", "", IFERROR(INDEX('Input-EWEMs'!S$52:S$61, MATCH($C69, 'Input-EWEMs'!$C$52:$C$61, 0)),'Input-EWEMs'!S37))</f>
        <v/>
      </c>
      <c r="Q69" s="159">
        <f>IF('Input-EWEMs'!AD37="", "", IFERROR(INDEX('Input-EWEMs'!AD$52:AD$61, MATCH($C69, 'Input-EWEMs'!$C$52:$C$61, 0)),'Input-EWEMs'!AD37))</f>
        <v>0</v>
      </c>
      <c r="R69" s="160">
        <f>IF('Input-EWEMs'!AE37="", "", IFERROR(INDEX('Input-EWEMs'!AE$52:AE$61, MATCH($C69, 'Input-EWEMs'!$C$52:$C$61, 0)),'Input-EWEMs'!AE37))</f>
        <v>0</v>
      </c>
      <c r="S69" s="161" t="str">
        <f>IF('Input-EWEMs'!AF37="", "", IFERROR(INDEX('Input-EWEMs'!AF$52:AF$61, MATCH($C69, 'Input-EWEMs'!$C$52:$C$61, 0)),'Input-EWEMs'!AF37))</f>
        <v/>
      </c>
      <c r="T69" s="162" t="str">
        <f>IF('Input-EWEMs'!AH37="", "", IFERROR(INDEX('Input-EWEMs'!AH$52:AH$61, MATCH($C69, 'Input-EWEMs'!$C$52:$C$61, 0)),'Input-EWEMs'!AH37))</f>
        <v/>
      </c>
      <c r="U69" s="734" t="str">
        <f>IF('Input-EWEMs'!AI37="", "", IFERROR(INDEX('Input-EWEMs'!AI$52:AI$61, MATCH($C69, 'Input-EWEMs'!$C$52:$C$61, 0)),'Input-EWEMs'!AI37))</f>
        <v/>
      </c>
      <c r="V69" s="163" t="str">
        <f>IF('Input-EWEMs'!AJ37="", "", IFERROR(INDEX('Input-EWEMs'!AJ$52:AJ$61, MATCH($C69, 'Input-EWEMs'!$C$52:$C$61, 0)),'Input-EWEMs'!AJ37))</f>
        <v/>
      </c>
      <c r="W69" s="109" t="str">
        <f>IF(B69="Yes",COUNTIF(B$44:B69,"Yes"),"")</f>
        <v/>
      </c>
      <c r="X69" s="92" t="str">
        <f t="shared" si="1"/>
        <v/>
      </c>
      <c r="Y69" s="92" t="str">
        <f t="shared" si="2"/>
        <v/>
      </c>
      <c r="Z69" s="604" t="str">
        <f t="shared" si="0"/>
        <v/>
      </c>
      <c r="AA69" s="699" t="str">
        <f t="shared" si="3"/>
        <v/>
      </c>
    </row>
    <row r="70" spans="2:27" s="92" customFormat="1" ht="36" customHeight="1" x14ac:dyDescent="0.2">
      <c r="B70" s="150"/>
      <c r="C70" s="164">
        <v>27</v>
      </c>
      <c r="D70" s="165" t="str">
        <f>IF(IFERROR(MATCH($C70, 'Input-EWEMs'!$C$52:$C$61, 0),0)&gt;0,"adj.","")</f>
        <v/>
      </c>
      <c r="E70" s="804" t="str">
        <f>IF('Input-EWEMs'!F38="", "", IFERROR(INDEX('Input-EWEMs'!$F$52:$F$61, MATCH($C70, 'Input-EWEMs'!$C$52:$C$61, 0)),'Input-EWEMs'!F38))</f>
        <v/>
      </c>
      <c r="F70" s="805"/>
      <c r="G70" s="805"/>
      <c r="H70" s="688" t="str">
        <f>IF('Input-EWEMs'!D38="", "", IFERROR(INDEX('Input-EWEMs'!H$52:H$61, MATCH($C70, 'Input-EWEMs'!$C$52:$C$61, 0)),'Input-EWEMs'!H38))</f>
        <v/>
      </c>
      <c r="I70" s="689" t="str">
        <f>IF('Input-EWEMs'!D38="", "", IFERROR(INDEX('Input-EWEMs'!I$52:I$61, MATCH($C70, 'Input-EWEMs'!$C$52:$C$61, 0)),'Input-EWEMs'!I38))</f>
        <v/>
      </c>
      <c r="J70" s="153" t="str">
        <f>IF('Input-EWEMs'!M38="", "", IFERROR(INDEX('Input-EWEMs'!M$52:M$61, MATCH($C70, 'Input-EWEMs'!$C$52:$C$61, 0)),'Input-EWEMs'!M38))</f>
        <v/>
      </c>
      <c r="K70" s="154" t="str">
        <f>IF('Input-EWEMs'!N38="", "", IFERROR(INDEX('Input-EWEMs'!N$52:N$61, MATCH($C70, 'Input-EWEMs'!$C$52:$C$61, 0)),'Input-EWEMs'!N38))</f>
        <v/>
      </c>
      <c r="L70" s="155" t="str">
        <f>IF('Input-EWEMs'!O38="", "", IFERROR(INDEX('Input-EWEMs'!O$52:O$61, MATCH($C70, 'Input-EWEMs'!$C$52:$C$61, 0)),'Input-EWEMs'!O38))</f>
        <v/>
      </c>
      <c r="M70" s="158" t="str">
        <f>IF('Input-EWEMs'!P38="", "", IFERROR(INDEX('Input-EWEMs'!P$52:P$61, MATCH($C70, 'Input-EWEMs'!$C$52:$C$61, 0)),'Input-EWEMs'!P38))</f>
        <v/>
      </c>
      <c r="N70" s="157" t="str">
        <f>IF('Input-EWEMs'!Q38="", "", IFERROR(INDEX('Input-EWEMs'!Q$52:Q$61, MATCH($C70, 'Input-EWEMs'!$C$52:$C$61, 0)),'Input-EWEMs'!Q38))</f>
        <v/>
      </c>
      <c r="O70" s="155" t="str">
        <f>IF('Input-EWEMs'!R38="", "", IFERROR(INDEX('Input-EWEMs'!R$52:R$61, MATCH($C70, 'Input-EWEMs'!$C$52:$C$61, 0)),'Input-EWEMs'!R38))</f>
        <v/>
      </c>
      <c r="P70" s="158" t="str">
        <f>IF('Input-EWEMs'!S38="", "", IFERROR(INDEX('Input-EWEMs'!S$52:S$61, MATCH($C70, 'Input-EWEMs'!$C$52:$C$61, 0)),'Input-EWEMs'!S38))</f>
        <v/>
      </c>
      <c r="Q70" s="159">
        <f>IF('Input-EWEMs'!AD38="", "", IFERROR(INDEX('Input-EWEMs'!AD$52:AD$61, MATCH($C70, 'Input-EWEMs'!$C$52:$C$61, 0)),'Input-EWEMs'!AD38))</f>
        <v>0</v>
      </c>
      <c r="R70" s="160">
        <f>IF('Input-EWEMs'!AE38="", "", IFERROR(INDEX('Input-EWEMs'!AE$52:AE$61, MATCH($C70, 'Input-EWEMs'!$C$52:$C$61, 0)),'Input-EWEMs'!AE38))</f>
        <v>0</v>
      </c>
      <c r="S70" s="161" t="str">
        <f>IF('Input-EWEMs'!AF38="", "", IFERROR(INDEX('Input-EWEMs'!AF$52:AF$61, MATCH($C70, 'Input-EWEMs'!$C$52:$C$61, 0)),'Input-EWEMs'!AF38))</f>
        <v/>
      </c>
      <c r="T70" s="162" t="str">
        <f>IF('Input-EWEMs'!AH38="", "", IFERROR(INDEX('Input-EWEMs'!AH$52:AH$61, MATCH($C70, 'Input-EWEMs'!$C$52:$C$61, 0)),'Input-EWEMs'!AH38))</f>
        <v/>
      </c>
      <c r="U70" s="734" t="str">
        <f>IF('Input-EWEMs'!AI38="", "", IFERROR(INDEX('Input-EWEMs'!AI$52:AI$61, MATCH($C70, 'Input-EWEMs'!$C$52:$C$61, 0)),'Input-EWEMs'!AI38))</f>
        <v/>
      </c>
      <c r="V70" s="163" t="str">
        <f>IF('Input-EWEMs'!AJ38="", "", IFERROR(INDEX('Input-EWEMs'!AJ$52:AJ$61, MATCH($C70, 'Input-EWEMs'!$C$52:$C$61, 0)),'Input-EWEMs'!AJ38))</f>
        <v/>
      </c>
      <c r="W70" s="109" t="str">
        <f>IF(B70="Yes",COUNTIF(B$44:B70,"Yes"),"")</f>
        <v/>
      </c>
      <c r="X70" s="92" t="str">
        <f t="shared" si="1"/>
        <v/>
      </c>
      <c r="Y70" s="92" t="str">
        <f t="shared" si="2"/>
        <v/>
      </c>
      <c r="Z70" s="604" t="str">
        <f t="shared" si="0"/>
        <v/>
      </c>
      <c r="AA70" s="699" t="str">
        <f t="shared" si="3"/>
        <v/>
      </c>
    </row>
    <row r="71" spans="2:27" s="92" customFormat="1" ht="36" customHeight="1" x14ac:dyDescent="0.2">
      <c r="B71" s="150"/>
      <c r="C71" s="164">
        <v>28</v>
      </c>
      <c r="D71" s="165" t="str">
        <f>IF(IFERROR(MATCH($C71, 'Input-EWEMs'!$C$52:$C$61, 0),0)&gt;0,"adj.","")</f>
        <v/>
      </c>
      <c r="E71" s="804" t="str">
        <f>IF('Input-EWEMs'!F39="", "", IFERROR(INDEX('Input-EWEMs'!$F$52:$F$61, MATCH($C71, 'Input-EWEMs'!$C$52:$C$61, 0)),'Input-EWEMs'!F39))</f>
        <v/>
      </c>
      <c r="F71" s="805"/>
      <c r="G71" s="805"/>
      <c r="H71" s="688" t="str">
        <f>IF('Input-EWEMs'!D39="", "", IFERROR(INDEX('Input-EWEMs'!H$52:H$61, MATCH($C71, 'Input-EWEMs'!$C$52:$C$61, 0)),'Input-EWEMs'!H39))</f>
        <v/>
      </c>
      <c r="I71" s="689" t="str">
        <f>IF('Input-EWEMs'!D39="", "", IFERROR(INDEX('Input-EWEMs'!I$52:I$61, MATCH($C71, 'Input-EWEMs'!$C$52:$C$61, 0)),'Input-EWEMs'!I39))</f>
        <v/>
      </c>
      <c r="J71" s="153" t="str">
        <f>IF('Input-EWEMs'!M39="", "", IFERROR(INDEX('Input-EWEMs'!M$52:M$61, MATCH($C71, 'Input-EWEMs'!$C$52:$C$61, 0)),'Input-EWEMs'!M39))</f>
        <v/>
      </c>
      <c r="K71" s="154" t="str">
        <f>IF('Input-EWEMs'!N39="", "", IFERROR(INDEX('Input-EWEMs'!N$52:N$61, MATCH($C71, 'Input-EWEMs'!$C$52:$C$61, 0)),'Input-EWEMs'!N39))</f>
        <v/>
      </c>
      <c r="L71" s="155" t="str">
        <f>IF('Input-EWEMs'!O39="", "", IFERROR(INDEX('Input-EWEMs'!O$52:O$61, MATCH($C71, 'Input-EWEMs'!$C$52:$C$61, 0)),'Input-EWEMs'!O39))</f>
        <v/>
      </c>
      <c r="M71" s="158" t="str">
        <f>IF('Input-EWEMs'!P39="", "", IFERROR(INDEX('Input-EWEMs'!P$52:P$61, MATCH($C71, 'Input-EWEMs'!$C$52:$C$61, 0)),'Input-EWEMs'!P39))</f>
        <v/>
      </c>
      <c r="N71" s="157" t="str">
        <f>IF('Input-EWEMs'!Q39="", "", IFERROR(INDEX('Input-EWEMs'!Q$52:Q$61, MATCH($C71, 'Input-EWEMs'!$C$52:$C$61, 0)),'Input-EWEMs'!Q39))</f>
        <v/>
      </c>
      <c r="O71" s="155" t="str">
        <f>IF('Input-EWEMs'!R39="", "", IFERROR(INDEX('Input-EWEMs'!R$52:R$61, MATCH($C71, 'Input-EWEMs'!$C$52:$C$61, 0)),'Input-EWEMs'!R39))</f>
        <v/>
      </c>
      <c r="P71" s="158" t="str">
        <f>IF('Input-EWEMs'!S39="", "", IFERROR(INDEX('Input-EWEMs'!S$52:S$61, MATCH($C71, 'Input-EWEMs'!$C$52:$C$61, 0)),'Input-EWEMs'!S39))</f>
        <v/>
      </c>
      <c r="Q71" s="159">
        <f>IF('Input-EWEMs'!AD39="", "", IFERROR(INDEX('Input-EWEMs'!AD$52:AD$61, MATCH($C71, 'Input-EWEMs'!$C$52:$C$61, 0)),'Input-EWEMs'!AD39))</f>
        <v>0</v>
      </c>
      <c r="R71" s="160">
        <f>IF('Input-EWEMs'!AE39="", "", IFERROR(INDEX('Input-EWEMs'!AE$52:AE$61, MATCH($C71, 'Input-EWEMs'!$C$52:$C$61, 0)),'Input-EWEMs'!AE39))</f>
        <v>0</v>
      </c>
      <c r="S71" s="161" t="str">
        <f>IF('Input-EWEMs'!AF39="", "", IFERROR(INDEX('Input-EWEMs'!AF$52:AF$61, MATCH($C71, 'Input-EWEMs'!$C$52:$C$61, 0)),'Input-EWEMs'!AF39))</f>
        <v/>
      </c>
      <c r="T71" s="162" t="str">
        <f>IF('Input-EWEMs'!AH39="", "", IFERROR(INDEX('Input-EWEMs'!AH$52:AH$61, MATCH($C71, 'Input-EWEMs'!$C$52:$C$61, 0)),'Input-EWEMs'!AH39))</f>
        <v/>
      </c>
      <c r="U71" s="734" t="str">
        <f>IF('Input-EWEMs'!AI39="", "", IFERROR(INDEX('Input-EWEMs'!AI$52:AI$61, MATCH($C71, 'Input-EWEMs'!$C$52:$C$61, 0)),'Input-EWEMs'!AI39))</f>
        <v/>
      </c>
      <c r="V71" s="163" t="str">
        <f>IF('Input-EWEMs'!AJ39="", "", IFERROR(INDEX('Input-EWEMs'!AJ$52:AJ$61, MATCH($C71, 'Input-EWEMs'!$C$52:$C$61, 0)),'Input-EWEMs'!AJ39))</f>
        <v/>
      </c>
      <c r="W71" s="109" t="str">
        <f>IF(B71="Yes",COUNTIF(B$44:B71,"Yes"),"")</f>
        <v/>
      </c>
      <c r="X71" s="92" t="str">
        <f t="shared" si="1"/>
        <v/>
      </c>
      <c r="Y71" s="92" t="str">
        <f t="shared" si="2"/>
        <v/>
      </c>
      <c r="Z71" s="604" t="str">
        <f t="shared" si="0"/>
        <v/>
      </c>
      <c r="AA71" s="699" t="str">
        <f t="shared" si="3"/>
        <v/>
      </c>
    </row>
    <row r="72" spans="2:27" s="92" customFormat="1" ht="36" customHeight="1" x14ac:dyDescent="0.2">
      <c r="B72" s="150"/>
      <c r="C72" s="164">
        <v>29</v>
      </c>
      <c r="D72" s="165" t="str">
        <f>IF(IFERROR(MATCH($C72, 'Input-EWEMs'!$C$52:$C$61, 0),0)&gt;0,"adj.","")</f>
        <v/>
      </c>
      <c r="E72" s="804" t="str">
        <f>IF('Input-EWEMs'!F40="", "", IFERROR(INDEX('Input-EWEMs'!$F$52:$F$61, MATCH($C72, 'Input-EWEMs'!$C$52:$C$61, 0)),'Input-EWEMs'!F40))</f>
        <v/>
      </c>
      <c r="F72" s="805"/>
      <c r="G72" s="805"/>
      <c r="H72" s="688" t="str">
        <f>IF('Input-EWEMs'!D40="", "", IFERROR(INDEX('Input-EWEMs'!H$52:H$61, MATCH($C72, 'Input-EWEMs'!$C$52:$C$61, 0)),'Input-EWEMs'!H40))</f>
        <v/>
      </c>
      <c r="I72" s="689" t="str">
        <f>IF('Input-EWEMs'!D40="", "", IFERROR(INDEX('Input-EWEMs'!I$52:I$61, MATCH($C72, 'Input-EWEMs'!$C$52:$C$61, 0)),'Input-EWEMs'!I40))</f>
        <v/>
      </c>
      <c r="J72" s="153" t="str">
        <f>IF('Input-EWEMs'!M40="", "", IFERROR(INDEX('Input-EWEMs'!M$52:M$61, MATCH($C72, 'Input-EWEMs'!$C$52:$C$61, 0)),'Input-EWEMs'!M40))</f>
        <v/>
      </c>
      <c r="K72" s="154" t="str">
        <f>IF('Input-EWEMs'!N40="", "", IFERROR(INDEX('Input-EWEMs'!N$52:N$61, MATCH($C72, 'Input-EWEMs'!$C$52:$C$61, 0)),'Input-EWEMs'!N40))</f>
        <v/>
      </c>
      <c r="L72" s="155" t="str">
        <f>IF('Input-EWEMs'!O40="", "", IFERROR(INDEX('Input-EWEMs'!O$52:O$61, MATCH($C72, 'Input-EWEMs'!$C$52:$C$61, 0)),'Input-EWEMs'!O40))</f>
        <v/>
      </c>
      <c r="M72" s="158" t="str">
        <f>IF('Input-EWEMs'!P40="", "", IFERROR(INDEX('Input-EWEMs'!P$52:P$61, MATCH($C72, 'Input-EWEMs'!$C$52:$C$61, 0)),'Input-EWEMs'!P40))</f>
        <v/>
      </c>
      <c r="N72" s="157" t="str">
        <f>IF('Input-EWEMs'!Q40="", "", IFERROR(INDEX('Input-EWEMs'!Q$52:Q$61, MATCH($C72, 'Input-EWEMs'!$C$52:$C$61, 0)),'Input-EWEMs'!Q40))</f>
        <v/>
      </c>
      <c r="O72" s="155" t="str">
        <f>IF('Input-EWEMs'!R40="", "", IFERROR(INDEX('Input-EWEMs'!R$52:R$61, MATCH($C72, 'Input-EWEMs'!$C$52:$C$61, 0)),'Input-EWEMs'!R40))</f>
        <v/>
      </c>
      <c r="P72" s="158" t="str">
        <f>IF('Input-EWEMs'!S40="", "", IFERROR(INDEX('Input-EWEMs'!S$52:S$61, MATCH($C72, 'Input-EWEMs'!$C$52:$C$61, 0)),'Input-EWEMs'!S40))</f>
        <v/>
      </c>
      <c r="Q72" s="159">
        <f>IF('Input-EWEMs'!AD40="", "", IFERROR(INDEX('Input-EWEMs'!AD$52:AD$61, MATCH($C72, 'Input-EWEMs'!$C$52:$C$61, 0)),'Input-EWEMs'!AD40))</f>
        <v>0</v>
      </c>
      <c r="R72" s="160">
        <f>IF('Input-EWEMs'!AE40="", "", IFERROR(INDEX('Input-EWEMs'!AE$52:AE$61, MATCH($C72, 'Input-EWEMs'!$C$52:$C$61, 0)),'Input-EWEMs'!AE40))</f>
        <v>0</v>
      </c>
      <c r="S72" s="161" t="str">
        <f>IF('Input-EWEMs'!AF40="", "", IFERROR(INDEX('Input-EWEMs'!AF$52:AF$61, MATCH($C72, 'Input-EWEMs'!$C$52:$C$61, 0)),'Input-EWEMs'!AF40))</f>
        <v/>
      </c>
      <c r="T72" s="162" t="str">
        <f>IF('Input-EWEMs'!AH40="", "", IFERROR(INDEX('Input-EWEMs'!AH$52:AH$61, MATCH($C72, 'Input-EWEMs'!$C$52:$C$61, 0)),'Input-EWEMs'!AH40))</f>
        <v/>
      </c>
      <c r="U72" s="734" t="str">
        <f>IF('Input-EWEMs'!AI40="", "", IFERROR(INDEX('Input-EWEMs'!AI$52:AI$61, MATCH($C72, 'Input-EWEMs'!$C$52:$C$61, 0)),'Input-EWEMs'!AI40))</f>
        <v/>
      </c>
      <c r="V72" s="163" t="str">
        <f>IF('Input-EWEMs'!AJ40="", "", IFERROR(INDEX('Input-EWEMs'!AJ$52:AJ$61, MATCH($C72, 'Input-EWEMs'!$C$52:$C$61, 0)),'Input-EWEMs'!AJ40))</f>
        <v/>
      </c>
      <c r="W72" s="109" t="str">
        <f>IF(B72="Yes",COUNTIF(B$44:B72,"Yes"),"")</f>
        <v/>
      </c>
      <c r="X72" s="92" t="str">
        <f t="shared" si="1"/>
        <v/>
      </c>
      <c r="Y72" s="92" t="str">
        <f t="shared" si="2"/>
        <v/>
      </c>
      <c r="Z72" s="604" t="str">
        <f t="shared" si="0"/>
        <v/>
      </c>
      <c r="AA72" s="699" t="str">
        <f t="shared" si="3"/>
        <v/>
      </c>
    </row>
    <row r="73" spans="2:27" s="92" customFormat="1" ht="36" customHeight="1" x14ac:dyDescent="0.2">
      <c r="B73" s="167"/>
      <c r="C73" s="164">
        <v>30</v>
      </c>
      <c r="D73" s="165" t="str">
        <f>IF(IFERROR(MATCH($C73, 'Input-EWEMs'!$C$52:$C$61, 0),0)&gt;0,"adj.","")</f>
        <v/>
      </c>
      <c r="E73" s="804" t="str">
        <f>IF('Input-EWEMs'!F41="", "", IFERROR(INDEX('Input-EWEMs'!$F$52:$F$61, MATCH($C73, 'Input-EWEMs'!$C$52:$C$61, 0)),'Input-EWEMs'!F41))</f>
        <v/>
      </c>
      <c r="F73" s="805"/>
      <c r="G73" s="805"/>
      <c r="H73" s="688" t="str">
        <f>IF('Input-EWEMs'!D41="", "", IFERROR(INDEX('Input-EWEMs'!H$52:H$61, MATCH($C73, 'Input-EWEMs'!$C$52:$C$61, 0)),'Input-EWEMs'!H41))</f>
        <v/>
      </c>
      <c r="I73" s="689" t="str">
        <f>IF('Input-EWEMs'!D41="", "", IFERROR(INDEX('Input-EWEMs'!I$52:I$61, MATCH($C73, 'Input-EWEMs'!$C$52:$C$61, 0)),'Input-EWEMs'!I41))</f>
        <v/>
      </c>
      <c r="J73" s="153" t="str">
        <f>IF('Input-EWEMs'!M41="", "", IFERROR(INDEX('Input-EWEMs'!M$52:M$61, MATCH($C73, 'Input-EWEMs'!$C$52:$C$61, 0)),'Input-EWEMs'!M41))</f>
        <v/>
      </c>
      <c r="K73" s="154" t="str">
        <f>IF('Input-EWEMs'!N41="", "", IFERROR(INDEX('Input-EWEMs'!N$52:N$61, MATCH($C73, 'Input-EWEMs'!$C$52:$C$61, 0)),'Input-EWEMs'!N41))</f>
        <v/>
      </c>
      <c r="L73" s="155" t="str">
        <f>IF('Input-EWEMs'!O41="", "", IFERROR(INDEX('Input-EWEMs'!O$52:O$61, MATCH($C73, 'Input-EWEMs'!$C$52:$C$61, 0)),'Input-EWEMs'!O41))</f>
        <v/>
      </c>
      <c r="M73" s="158" t="str">
        <f>IF('Input-EWEMs'!P41="", "", IFERROR(INDEX('Input-EWEMs'!P$52:P$61, MATCH($C73, 'Input-EWEMs'!$C$52:$C$61, 0)),'Input-EWEMs'!P41))</f>
        <v/>
      </c>
      <c r="N73" s="157" t="str">
        <f>IF('Input-EWEMs'!Q41="", "", IFERROR(INDEX('Input-EWEMs'!Q$52:Q$61, MATCH($C73, 'Input-EWEMs'!$C$52:$C$61, 0)),'Input-EWEMs'!Q41))</f>
        <v/>
      </c>
      <c r="O73" s="155" t="str">
        <f>IF('Input-EWEMs'!R41="", "", IFERROR(INDEX('Input-EWEMs'!R$52:R$61, MATCH($C73, 'Input-EWEMs'!$C$52:$C$61, 0)),'Input-EWEMs'!R41))</f>
        <v/>
      </c>
      <c r="P73" s="158" t="str">
        <f>IF('Input-EWEMs'!S41="", "", IFERROR(INDEX('Input-EWEMs'!S$52:S$61, MATCH($C73, 'Input-EWEMs'!$C$52:$C$61, 0)),'Input-EWEMs'!S41))</f>
        <v/>
      </c>
      <c r="Q73" s="159">
        <f>IF('Input-EWEMs'!AD41="", "", IFERROR(INDEX('Input-EWEMs'!AD$52:AD$61, MATCH($C73, 'Input-EWEMs'!$C$52:$C$61, 0)),'Input-EWEMs'!AD41))</f>
        <v>0</v>
      </c>
      <c r="R73" s="160">
        <f>IF('Input-EWEMs'!AE41="", "", IFERROR(INDEX('Input-EWEMs'!AE$52:AE$61, MATCH($C73, 'Input-EWEMs'!$C$52:$C$61, 0)),'Input-EWEMs'!AE41))</f>
        <v>0</v>
      </c>
      <c r="S73" s="161" t="str">
        <f>IF('Input-EWEMs'!AF41="", "", IFERROR(INDEX('Input-EWEMs'!AF$52:AF$61, MATCH($C73, 'Input-EWEMs'!$C$52:$C$61, 0)),'Input-EWEMs'!AF41))</f>
        <v/>
      </c>
      <c r="T73" s="162" t="str">
        <f>IF('Input-EWEMs'!AH41="", "", IFERROR(INDEX('Input-EWEMs'!AH$52:AH$61, MATCH($C73, 'Input-EWEMs'!$C$52:$C$61, 0)),'Input-EWEMs'!AH41))</f>
        <v/>
      </c>
      <c r="U73" s="734" t="str">
        <f>IF('Input-EWEMs'!AI41="", "", IFERROR(INDEX('Input-EWEMs'!AI$52:AI$61, MATCH($C73, 'Input-EWEMs'!$C$52:$C$61, 0)),'Input-EWEMs'!AI41))</f>
        <v/>
      </c>
      <c r="V73" s="163" t="str">
        <f>IF('Input-EWEMs'!AJ41="", "", IFERROR(INDEX('Input-EWEMs'!AJ$52:AJ$61, MATCH($C73, 'Input-EWEMs'!$C$52:$C$61, 0)),'Input-EWEMs'!AJ41))</f>
        <v/>
      </c>
      <c r="W73" s="109" t="str">
        <f>IF(B73="Yes",COUNTIF(B$44:B73,"Yes"),"")</f>
        <v/>
      </c>
      <c r="X73" s="92" t="str">
        <f t="shared" si="1"/>
        <v/>
      </c>
      <c r="Y73" s="92" t="str">
        <f t="shared" si="2"/>
        <v/>
      </c>
      <c r="Z73" s="606" t="str">
        <f t="shared" si="0"/>
        <v/>
      </c>
      <c r="AA73" s="700" t="str">
        <f t="shared" si="3"/>
        <v/>
      </c>
    </row>
    <row r="74" spans="2:27" s="92" customFormat="1" ht="24" hidden="1" customHeight="1" x14ac:dyDescent="0.2">
      <c r="T74" s="735"/>
      <c r="U74" s="736"/>
    </row>
    <row r="75" spans="2:27" s="92" customFormat="1" x14ac:dyDescent="0.2">
      <c r="B75" s="168"/>
      <c r="C75" s="169" t="str">
        <f>COUNTA('Input-EWEMs'!$D$12:$D$41)&amp;" EWEM Recommended"</f>
        <v>15 EWEM Recommended</v>
      </c>
      <c r="D75" s="170"/>
      <c r="E75" s="171"/>
      <c r="F75" s="171"/>
      <c r="G75" s="171"/>
      <c r="H75" s="171"/>
      <c r="I75" s="674"/>
      <c r="J75" s="172">
        <f t="shared" ref="J75:P75" si="4">SUM(J44:J73)</f>
        <v>3809512</v>
      </c>
      <c r="K75" s="173">
        <f t="shared" si="4"/>
        <v>202074.24260467576</v>
      </c>
      <c r="L75" s="174">
        <f t="shared" si="4"/>
        <v>0</v>
      </c>
      <c r="M75" s="175">
        <f t="shared" si="4"/>
        <v>202074.24260467576</v>
      </c>
      <c r="N75" s="176">
        <f>SUM(N44:N73)</f>
        <v>0</v>
      </c>
      <c r="O75" s="174">
        <f t="shared" si="4"/>
        <v>12805.030243917896</v>
      </c>
      <c r="P75" s="175">
        <f t="shared" si="4"/>
        <v>12805.030243917896</v>
      </c>
      <c r="Q75" s="177">
        <f t="shared" ref="Q75:S75" si="5">SUM(Q44:Q73)</f>
        <v>6984031.9159999993</v>
      </c>
      <c r="R75" s="178">
        <f t="shared" si="5"/>
        <v>18302814.364799999</v>
      </c>
      <c r="S75" s="179">
        <f t="shared" si="5"/>
        <v>2880.5</v>
      </c>
      <c r="T75" s="180">
        <f t="shared" ref="T75:V75" si="6">SUM(T44:T73)</f>
        <v>0.82331230242908537</v>
      </c>
      <c r="U75" s="737">
        <f t="shared" ref="U75" si="7">SUM(U44:U73)</f>
        <v>0.89912453870605302</v>
      </c>
      <c r="V75" s="181">
        <f t="shared" si="6"/>
        <v>0.37714065454492129</v>
      </c>
    </row>
    <row r="76" spans="2:27" ht="16.5" customHeight="1" x14ac:dyDescent="0.25">
      <c r="B76" s="147"/>
      <c r="C76" s="169" t="str">
        <f>COUNTIF(B44:B73, "Yes")&amp;" EWEM Selected"</f>
        <v>5 EWEM Selected</v>
      </c>
      <c r="D76" s="170"/>
      <c r="E76" s="171"/>
      <c r="F76" s="171"/>
      <c r="G76" s="171"/>
      <c r="H76" s="171"/>
      <c r="I76" s="674"/>
      <c r="J76" s="172">
        <f t="shared" ref="J76:V76" si="8">SUMIF($B$44:$B$73, "Yes", J44:J73)</f>
        <v>3519127</v>
      </c>
      <c r="K76" s="173">
        <f t="shared" si="8"/>
        <v>187304.84720165073</v>
      </c>
      <c r="L76" s="174">
        <f t="shared" si="8"/>
        <v>0</v>
      </c>
      <c r="M76" s="175">
        <f t="shared" si="8"/>
        <v>187304.84720165073</v>
      </c>
      <c r="N76" s="176">
        <f t="shared" si="8"/>
        <v>0</v>
      </c>
      <c r="O76" s="174">
        <f t="shared" si="8"/>
        <v>0</v>
      </c>
      <c r="P76" s="175">
        <f t="shared" si="8"/>
        <v>0</v>
      </c>
      <c r="Q76" s="177">
        <f t="shared" ref="Q76:S76" si="9">SUMIF($B$44:$B$73, "Yes", Q44:Q73)</f>
        <v>6228596.9639999997</v>
      </c>
      <c r="R76" s="178">
        <f t="shared" si="9"/>
        <v>17022696.499200001</v>
      </c>
      <c r="S76" s="179">
        <f t="shared" si="9"/>
        <v>0</v>
      </c>
      <c r="T76" s="180">
        <f t="shared" si="8"/>
        <v>0.73425788556113636</v>
      </c>
      <c r="U76" s="737">
        <f t="shared" ref="U76" si="10">SUMIF($B$44:$B$73, "Yes", U44:U73)</f>
        <v>0.82981339156602374</v>
      </c>
      <c r="V76" s="181">
        <f t="shared" si="8"/>
        <v>0</v>
      </c>
      <c r="X76" s="109"/>
      <c r="Y76" s="109"/>
    </row>
    <row r="77" spans="2:27" ht="20" customHeight="1" x14ac:dyDescent="0.2">
      <c r="E77" s="182"/>
      <c r="X77" s="109"/>
      <c r="Y77" s="109"/>
    </row>
    <row r="78" spans="2:27" ht="14.25" customHeight="1" x14ac:dyDescent="0.15">
      <c r="X78" s="109"/>
      <c r="Y78" s="109"/>
    </row>
  </sheetData>
  <sheetProtection algorithmName="SHA-512" hashValue="EPnkoXEbfp3p0qVPVDV4pA1OccI7gdopWntfQrzu42lFTNULdJ89dal2b0e71IUQU9QgLFKw9IoR60DPEJdfGw==" saltValue="B9LVgSjO69vhnmDOHRxaMg==" spinCount="100000" sheet="1" sort="0" autoFilter="0"/>
  <autoFilter ref="B43:B73" xr:uid="{00000000-0009-0000-0000-000001000000}"/>
  <mergeCells count="52">
    <mergeCell ref="B4:P4"/>
    <mergeCell ref="E63:G63"/>
    <mergeCell ref="E64:G64"/>
    <mergeCell ref="E65:G65"/>
    <mergeCell ref="E66:G66"/>
    <mergeCell ref="E38:F38"/>
    <mergeCell ref="K42:M42"/>
    <mergeCell ref="C42:D43"/>
    <mergeCell ref="E42:G43"/>
    <mergeCell ref="H42:H43"/>
    <mergeCell ref="H18:J18"/>
    <mergeCell ref="E11:G11"/>
    <mergeCell ref="E18:F18"/>
    <mergeCell ref="J42:J43"/>
    <mergeCell ref="N42:P42"/>
    <mergeCell ref="B13:D13"/>
    <mergeCell ref="E61:G61"/>
    <mergeCell ref="E62:G62"/>
    <mergeCell ref="E73:G73"/>
    <mergeCell ref="E54:G54"/>
    <mergeCell ref="E55:G55"/>
    <mergeCell ref="E56:G56"/>
    <mergeCell ref="E57:G57"/>
    <mergeCell ref="E58:G58"/>
    <mergeCell ref="E67:G67"/>
    <mergeCell ref="E68:G68"/>
    <mergeCell ref="E69:G69"/>
    <mergeCell ref="E70:G70"/>
    <mergeCell ref="E71:G71"/>
    <mergeCell ref="E72:G72"/>
    <mergeCell ref="E60:G60"/>
    <mergeCell ref="E59:G59"/>
    <mergeCell ref="E49:G49"/>
    <mergeCell ref="E50:G50"/>
    <mergeCell ref="E51:G51"/>
    <mergeCell ref="E52:G52"/>
    <mergeCell ref="E53:G53"/>
    <mergeCell ref="B5:N5"/>
    <mergeCell ref="E48:G48"/>
    <mergeCell ref="Z42:Z43"/>
    <mergeCell ref="AA42:AA43"/>
    <mergeCell ref="I42:I43"/>
    <mergeCell ref="B6:P6"/>
    <mergeCell ref="B7:P7"/>
    <mergeCell ref="T42:T43"/>
    <mergeCell ref="V42:V43"/>
    <mergeCell ref="B42:B43"/>
    <mergeCell ref="E44:G44"/>
    <mergeCell ref="E45:G45"/>
    <mergeCell ref="E46:G46"/>
    <mergeCell ref="E47:G47"/>
    <mergeCell ref="U42:U43"/>
  </mergeCells>
  <conditionalFormatting sqref="B44:B73">
    <cfRule type="expression" dxfId="52" priority="63">
      <formula>AND(E44&lt;&gt;"",B44="")</formula>
    </cfRule>
  </conditionalFormatting>
  <conditionalFormatting sqref="E11">
    <cfRule type="expression" dxfId="51" priority="10">
      <formula>E11=""</formula>
    </cfRule>
  </conditionalFormatting>
  <conditionalFormatting sqref="E13">
    <cfRule type="expression" dxfId="50" priority="2">
      <formula>E13=""</formula>
    </cfRule>
  </conditionalFormatting>
  <conditionalFormatting sqref="E16 E18 H18:I18">
    <cfRule type="expression" dxfId="49" priority="12">
      <formula>E16=""</formula>
    </cfRule>
  </conditionalFormatting>
  <conditionalFormatting sqref="E22">
    <cfRule type="expression" dxfId="48" priority="13">
      <formula>E22&gt;=0.1495</formula>
    </cfRule>
  </conditionalFormatting>
  <conditionalFormatting sqref="E24">
    <cfRule type="expression" dxfId="47" priority="3">
      <formula>$E$24&gt;=0.2995</formula>
    </cfRule>
  </conditionalFormatting>
  <conditionalFormatting sqref="J38">
    <cfRule type="expression" dxfId="46" priority="4">
      <formula>J38=""</formula>
    </cfRule>
  </conditionalFormatting>
  <conditionalFormatting sqref="Z44:AA73">
    <cfRule type="expression" dxfId="45" priority="1">
      <formula>AND($B44="Yes",Z44="")</formula>
    </cfRule>
  </conditionalFormatting>
  <dataValidations count="1">
    <dataValidation type="date" allowBlank="1" showInputMessage="1" showErrorMessage="1" sqref="H18:I18" xr:uid="{00000000-0002-0000-0100-000000000000}">
      <formula1>42736</formula1>
      <formula2>46388</formula2>
    </dataValidation>
  </dataValidations>
  <hyperlinks>
    <hyperlink ref="E14" r:id="rId1" xr:uid="{F58CFA78-8AC2-4015-9BFF-38A5BF7FAC4C}"/>
  </hyperlinks>
  <pageMargins left="0.7" right="0.7" top="0.75" bottom="0.75" header="0.3" footer="0.3"/>
  <pageSetup paperSize="5" scale="84" orientation="landscape" r:id="rId2"/>
  <headerFooter>
    <oddFooter>&amp;L&amp;"Source Sans Pro,Regular"&amp;8© 2023 Fannie Mae. Trademarks of Fannie Mae._x000D_&amp;1#&amp;"Calibri"&amp;10&amp;K000000 Fannie Mae Confidential&amp;C&amp;"Source Sans Pro,Regular"&amp;8Form 4099.H - October 2023&amp;R&amp;"Source Sans Pro,Regular"&amp;8Page &amp;P of &amp;N</oddFooter>
  </headerFooter>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1000000}">
          <x14:formula1>
            <xm:f>Dropdowns!$B$3:$B$4</xm:f>
          </x14:formula1>
          <xm:sqref>B44:B73</xm:sqref>
        </x14:dataValidation>
        <x14:dataValidation type="list" allowBlank="1" showInputMessage="1" showErrorMessage="1" error="Report must be scored on a scale of 1 to 3." xr:uid="{00000000-0002-0000-0100-000002000000}">
          <x14:formula1>
            <xm:f>Dropdowns!$J$3:$J$5</xm:f>
          </x14:formula1>
          <xm:sqref>E16</xm:sqref>
        </x14:dataValidation>
        <x14:dataValidation type="list" allowBlank="1" showInputMessage="1" showErrorMessage="1" error="Report must be scored on a scale of 1 to 3." xr:uid="{180699D9-CF03-4C6E-B98D-18CE3275CBD0}">
          <x14:formula1>
            <xm:f>Dropdowns!$B$3:$B$4</xm:f>
          </x14:formula1>
          <xm:sqref>E13</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4C94E-66B4-4497-87EA-23A881FB92BD}">
  <sheetPr>
    <tabColor rgb="FFFFC000"/>
  </sheetPr>
  <dimension ref="A1:V9"/>
  <sheetViews>
    <sheetView topLeftCell="E13" zoomScaleNormal="100" workbookViewId="0">
      <selection activeCell="C4" sqref="C4:K4"/>
    </sheetView>
  </sheetViews>
  <sheetFormatPr baseColWidth="10" defaultColWidth="8.83203125" defaultRowHeight="15" x14ac:dyDescent="0.2"/>
  <cols>
    <col min="2" max="19" width="16.6640625" customWidth="1"/>
  </cols>
  <sheetData>
    <row r="1" spans="1:22" s="3" customFormat="1" x14ac:dyDescent="0.2">
      <c r="A1" s="66" t="s">
        <v>427</v>
      </c>
      <c r="B1" s="66" t="s">
        <v>592</v>
      </c>
      <c r="C1" s="66" t="s">
        <v>593</v>
      </c>
      <c r="D1" s="66" t="s">
        <v>594</v>
      </c>
      <c r="E1" s="66" t="s">
        <v>595</v>
      </c>
      <c r="F1" s="66" t="s">
        <v>596</v>
      </c>
      <c r="G1" s="66" t="s">
        <v>597</v>
      </c>
      <c r="H1" s="66" t="s">
        <v>598</v>
      </c>
      <c r="I1" s="66" t="s">
        <v>599</v>
      </c>
      <c r="J1" s="66" t="s">
        <v>600</v>
      </c>
      <c r="K1" s="66" t="s">
        <v>601</v>
      </c>
      <c r="L1" s="66" t="s">
        <v>602</v>
      </c>
      <c r="M1" s="66" t="s">
        <v>603</v>
      </c>
      <c r="N1" s="66" t="s">
        <v>604</v>
      </c>
      <c r="O1" s="66" t="s">
        <v>605</v>
      </c>
      <c r="P1" s="66" t="s">
        <v>606</v>
      </c>
      <c r="Q1" s="66" t="s">
        <v>607</v>
      </c>
      <c r="R1"/>
      <c r="S1"/>
      <c r="T1"/>
      <c r="U1"/>
      <c r="V1"/>
    </row>
    <row r="2" spans="1:22" x14ac:dyDescent="0.2">
      <c r="A2" s="2"/>
      <c r="B2" s="2" t="b">
        <v>1</v>
      </c>
      <c r="C2" s="2" t="b">
        <v>1</v>
      </c>
      <c r="D2" s="2" t="b">
        <v>1</v>
      </c>
      <c r="E2" s="2" t="b">
        <v>1</v>
      </c>
      <c r="F2" s="2" t="b">
        <v>0</v>
      </c>
      <c r="G2" s="2" t="b">
        <v>1</v>
      </c>
      <c r="H2" s="2" t="str">
        <f>IF('Input-Electrification'!D29="","",'Input-Electrification'!D29)</f>
        <v/>
      </c>
      <c r="I2" s="2" t="str">
        <f>IF('Input-Electrification'!D31="","",'Input-Electrification'!D31)</f>
        <v>EV charging in parking is feasible. DHW and space heating are currently supported by natural gas. Cooking is currently natural gas.</v>
      </c>
      <c r="J2" s="2" t="b">
        <v>1</v>
      </c>
      <c r="K2" s="2" t="b">
        <v>1</v>
      </c>
      <c r="L2" s="2" t="b">
        <v>0</v>
      </c>
      <c r="M2" s="2" t="b">
        <v>1</v>
      </c>
      <c r="N2" s="2" t="b">
        <v>0</v>
      </c>
      <c r="O2" s="2" t="b">
        <v>0</v>
      </c>
      <c r="P2" s="2" t="str">
        <f>IF('Input-Electrification'!D41="","",'Input-Electrification'!D41)</f>
        <v/>
      </c>
      <c r="Q2" s="2" t="str">
        <f>IF('Input-Electrification'!D43="","",'Input-Electrification'!D43)</f>
        <v>Switching from a furnace + air conditioner to a more efficient heat pump is recommended as an EWEM. EV charging and electric DHW may be feasible.</v>
      </c>
    </row>
    <row r="6" spans="1:22" x14ac:dyDescent="0.2">
      <c r="U6" s="28"/>
    </row>
    <row r="9" spans="1:22" x14ac:dyDescent="0.2">
      <c r="G9" s="3"/>
      <c r="H9" s="3"/>
      <c r="I9" s="3"/>
      <c r="J9" s="3"/>
      <c r="K9" s="3"/>
      <c r="L9" s="3"/>
      <c r="M9" s="3"/>
      <c r="N9" s="3"/>
    </row>
  </sheetData>
  <pageMargins left="0.7" right="0.7" top="0.75" bottom="0.75" header="0.3" footer="0.3"/>
  <pageSetup orientation="portrait" r:id="rId1"/>
  <headerFooter>
    <oddFooter>&amp;L_x000D_&amp;1#&amp;"Calibri"&amp;10&amp;K000000 Fannie Mae Confidential&amp;CConfidential - Internal Distribution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tabColor theme="1" tint="0.34998626667073579"/>
    <pageSetUpPr autoPageBreaks="0"/>
  </sheetPr>
  <dimension ref="A1:O18"/>
  <sheetViews>
    <sheetView showGridLines="0" zoomScale="90" zoomScaleNormal="90" workbookViewId="0"/>
  </sheetViews>
  <sheetFormatPr baseColWidth="10" defaultColWidth="9.33203125" defaultRowHeight="11" x14ac:dyDescent="0.15"/>
  <cols>
    <col min="1" max="1" width="2.33203125" style="225" customWidth="1"/>
    <col min="2" max="2" width="16" style="110" customWidth="1"/>
    <col min="3" max="3" width="34.5" style="109" customWidth="1"/>
    <col min="4" max="4" width="16.5" style="109" customWidth="1"/>
    <col min="5" max="6" width="14.6640625" style="109" customWidth="1"/>
    <col min="7" max="7" width="17.5" style="109" customWidth="1"/>
    <col min="8" max="8" width="18" style="109" customWidth="1"/>
    <col min="9" max="9" width="17.33203125" style="109" customWidth="1"/>
    <col min="10" max="10" width="10.5" style="109" customWidth="1"/>
    <col min="11" max="11" width="11.6640625" style="109" customWidth="1"/>
    <col min="12" max="16384" width="9.33203125" style="109"/>
  </cols>
  <sheetData>
    <row r="1" spans="1:15" s="92" customFormat="1" ht="23.25" customHeight="1" x14ac:dyDescent="0.2">
      <c r="B1" s="90" t="s">
        <v>1</v>
      </c>
      <c r="C1" s="91"/>
      <c r="D1" s="91"/>
      <c r="E1" s="91"/>
      <c r="F1" s="91"/>
      <c r="G1" s="91"/>
      <c r="H1" s="91"/>
      <c r="I1" s="91"/>
      <c r="L1" s="91"/>
    </row>
    <row r="2" spans="1:15" s="92" customFormat="1" ht="15" customHeight="1" x14ac:dyDescent="0.2">
      <c r="A2" s="91"/>
      <c r="C2" s="91"/>
      <c r="D2" s="91"/>
      <c r="E2" s="91"/>
      <c r="F2" s="91"/>
      <c r="G2" s="91"/>
      <c r="H2" s="91"/>
      <c r="I2" s="91"/>
      <c r="J2" s="91"/>
      <c r="K2" s="91"/>
    </row>
    <row r="3" spans="1:15" s="92" customFormat="1" ht="25" x14ac:dyDescent="0.3">
      <c r="B3" s="107" t="s">
        <v>608</v>
      </c>
      <c r="F3" s="91"/>
    </row>
    <row r="4" spans="1:15" s="92" customFormat="1" ht="19.5" customHeight="1" x14ac:dyDescent="0.2">
      <c r="B4" s="877" t="s">
        <v>609</v>
      </c>
      <c r="C4" s="877"/>
      <c r="D4" s="877"/>
      <c r="E4" s="877"/>
      <c r="F4" s="877"/>
      <c r="G4" s="877"/>
      <c r="H4" s="877"/>
      <c r="I4" s="877"/>
      <c r="J4" s="877"/>
      <c r="K4" s="752"/>
      <c r="L4" s="752"/>
      <c r="M4" s="752"/>
      <c r="N4" s="752"/>
      <c r="O4" s="752"/>
    </row>
    <row r="5" spans="1:15" x14ac:dyDescent="0.15">
      <c r="A5" s="109"/>
      <c r="B5" s="109"/>
    </row>
    <row r="6" spans="1:15" ht="23.25" customHeight="1" x14ac:dyDescent="0.25">
      <c r="B6" s="147" t="s">
        <v>610</v>
      </c>
      <c r="C6" s="100"/>
      <c r="D6" s="100"/>
      <c r="E6" s="100"/>
      <c r="F6" s="100"/>
    </row>
    <row r="7" spans="1:15" ht="16.5" customHeight="1" x14ac:dyDescent="0.25">
      <c r="B7" s="147"/>
      <c r="C7" s="100"/>
      <c r="D7" s="100"/>
      <c r="E7" s="1015" t="s">
        <v>611</v>
      </c>
      <c r="F7" s="1015"/>
      <c r="G7" s="1023" t="s">
        <v>612</v>
      </c>
      <c r="H7" s="884"/>
      <c r="I7" s="884"/>
      <c r="J7" s="1024"/>
    </row>
    <row r="8" spans="1:15" ht="39.75" customHeight="1" x14ac:dyDescent="0.15">
      <c r="B8" s="130" t="s">
        <v>267</v>
      </c>
      <c r="C8" s="148" t="s">
        <v>613</v>
      </c>
      <c r="D8" s="527" t="s">
        <v>614</v>
      </c>
      <c r="E8" s="130" t="s">
        <v>56</v>
      </c>
      <c r="F8" s="131" t="s">
        <v>57</v>
      </c>
      <c r="G8" s="130" t="s">
        <v>615</v>
      </c>
      <c r="H8" s="148" t="s">
        <v>616</v>
      </c>
      <c r="I8" s="740" t="s">
        <v>617</v>
      </c>
      <c r="J8" s="131" t="s">
        <v>314</v>
      </c>
    </row>
    <row r="9" spans="1:15" ht="40.5" customHeight="1" x14ac:dyDescent="0.15">
      <c r="B9" s="528" t="s">
        <v>117</v>
      </c>
      <c r="C9" s="529" t="str">
        <f>"Includes "&amp;IF('DB-Utilities'!AA2=TRUE,"cooling, ","")&amp;IF('DB-Utilities'!AB2=TRUE,"heating, ","")&amp;IF('DB-Utilities'!AC2=TRUE,"hot water, ","")&amp;IF('DB-Utilities'!AG2="","", LOWER('DB-Utilities'!AG2)&amp;", ")&amp; "lighting, appliances, and other plug loads"</f>
        <v>Includes cooling, heating, lighting, appliances, and other plug loads</v>
      </c>
      <c r="D9" s="530" t="str">
        <f>IF(AND('Input-Utilities'!D10&gt;0,'Input-Utilities'!G10&gt;0),"Owner and Tenant",IF('Input-Utilities'!D10&gt;0,"Owner",IF('Input-Utilities'!G10&gt;0,"Tenant","n/a")))</f>
        <v>Owner</v>
      </c>
      <c r="E9" s="531">
        <f>'Input-Utilities'!D10</f>
        <v>193611</v>
      </c>
      <c r="F9" s="532">
        <f>'Input-Utilities'!G10</f>
        <v>0</v>
      </c>
      <c r="G9" s="533">
        <f>'Input-Utilities'!E10</f>
        <v>1845295</v>
      </c>
      <c r="H9" s="534">
        <f>'Input-Utilities'!H10</f>
        <v>0</v>
      </c>
      <c r="I9" s="535">
        <f>SUM(G9:H9)</f>
        <v>1845295</v>
      </c>
      <c r="J9" s="536" t="str">
        <f>'Input-Utilities'!F10</f>
        <v>kWh</v>
      </c>
      <c r="K9" s="407" t="str">
        <f t="shared" ref="K9:K10" si="0">IF(OR(B9="n/a", B9=0), "← Hide this row", "")</f>
        <v/>
      </c>
    </row>
    <row r="10" spans="1:15" ht="40.5" customHeight="1" x14ac:dyDescent="0.15">
      <c r="B10" s="537" t="str">
        <f>'Input-Utilities'!C11</f>
        <v>Natural Gas</v>
      </c>
      <c r="C10" s="538" t="str">
        <f>IF(('DB-Utilities'!AA3=FALSE)*('DB-Utilities'!AB3=FALSE)*('DB-Utilities'!AC3=FALSE)*('DB-Utilities'!AG3=""), "n/a","Includes "&amp;IF('DB-Utilities'!AA3=TRUE,"cooling","")&amp;IF(AND('DB-Utilities'!AA3=TRUE,'DB-Utilities'!AB3=TRUE),", heating",IF('DB-Utilities'!AB3=TRUE,"heating",""))&amp;IF(AND('DB-Utilities'!AC3=TRUE,OR('DB-Utilities'!AA3=TRUE,'DB-Utilities'!AB3=TRUE)),", hot water",IF('DB-Utilities'!AC3=TRUE,"hot water",""))
&amp;IF(AND('DB-Utilities'!AG3&lt;&gt;"",OR('DB-Utilities'!AA3=TRUE,'DB-Utilities'!AB3=TRUE, 'DB-Utilities'!AC3=TRUE)),", "&amp;LOWER('DB-Utilities'!AG3),IF('DB-Utilities'!AG3&lt;&gt;"",LOWER('DB-Utilities'!AG3),"")))</f>
        <v>Includes heating, hot water</v>
      </c>
      <c r="D10" s="539" t="str">
        <f>IF(AND('Input-Utilities'!D11&gt;0,'Input-Utilities'!G11&gt;0),"Owner and Tenant",IF('Input-Utilities'!D11&gt;0,"Owner",IF('Input-Utilities'!G11&gt;0,"Tenant","n/a")))</f>
        <v>Owner</v>
      </c>
      <c r="E10" s="540">
        <f>'Input-Utilities'!D11</f>
        <v>16794</v>
      </c>
      <c r="F10" s="541">
        <f>'Input-Utilities'!G11</f>
        <v>0</v>
      </c>
      <c r="G10" s="542">
        <f>'Input-Utilities'!E11</f>
        <v>21867</v>
      </c>
      <c r="H10" s="543">
        <f>'Input-Utilities'!H11</f>
        <v>0</v>
      </c>
      <c r="I10" s="535">
        <f t="shared" ref="I10:I12" si="1">SUM(G10:H10)</f>
        <v>21867</v>
      </c>
      <c r="J10" s="544" t="str">
        <f>'Input-Utilities'!F11</f>
        <v>therms gas</v>
      </c>
      <c r="K10" s="407" t="str">
        <f t="shared" si="0"/>
        <v/>
      </c>
    </row>
    <row r="11" spans="1:15" ht="40.5" hidden="1" customHeight="1" x14ac:dyDescent="0.15">
      <c r="B11" s="537" t="str">
        <f>'Input-Utilities'!C12</f>
        <v>n/a</v>
      </c>
      <c r="C11" s="538" t="str">
        <f>IF(('DB-Utilities'!AA4=FALSE)*('DB-Utilities'!AB4=FALSE)*('DB-Utilities'!AC4=FALSE)*('DB-Utilities'!AG4=""), "n/a","Includes "&amp;IF('DB-Utilities'!AA4=TRUE,"cooling","")&amp;IF(AND('DB-Utilities'!AA4=TRUE,'DB-Utilities'!AB4=TRUE),", heating",IF('DB-Utilities'!AB4=TRUE,"heating",""))&amp;IF(AND('DB-Utilities'!AC4=TRUE,OR('DB-Utilities'!AA4=TRUE,'DB-Utilities'!AB4=TRUE)),", hot water",IF('DB-Utilities'!AC4=TRUE,"hot water",""))
&amp;IF(AND('DB-Utilities'!AG4&lt;&gt;"",OR('DB-Utilities'!AA4=TRUE,'DB-Utilities'!AB4=TRUE, 'DB-Utilities'!AC4=TRUE)),", "&amp;LOWER('DB-Utilities'!AG4),IF('DB-Utilities'!AG4&lt;&gt;"",LOWER('DB-Utilities'!AG4),"")))</f>
        <v>n/a</v>
      </c>
      <c r="D11" s="539" t="str">
        <f>IF(AND('Input-Utilities'!D12&gt;0,'Input-Utilities'!G12&gt;0),"Owner and Tenant",IF('Input-Utilities'!D12&gt;0,"Owner",IF('Input-Utilities'!G12&gt;0,"Tenant","n/a")))</f>
        <v>n/a</v>
      </c>
      <c r="E11" s="540">
        <f>'Input-Utilities'!D12</f>
        <v>0</v>
      </c>
      <c r="F11" s="541">
        <f>'Input-Utilities'!G12</f>
        <v>0</v>
      </c>
      <c r="G11" s="542">
        <f>'Input-Utilities'!E12</f>
        <v>0</v>
      </c>
      <c r="H11" s="543">
        <f>'Input-Utilities'!H12</f>
        <v>0</v>
      </c>
      <c r="I11" s="535">
        <f t="shared" si="1"/>
        <v>0</v>
      </c>
      <c r="J11" s="544">
        <f>'Input-Utilities'!F12</f>
        <v>0</v>
      </c>
      <c r="K11" s="407" t="str">
        <f>IF(OR(B11="n/a", B11=0), "← Hide this row", "")</f>
        <v>← Hide this row</v>
      </c>
    </row>
    <row r="12" spans="1:15" ht="40.5" customHeight="1" x14ac:dyDescent="0.15">
      <c r="B12" s="545" t="s">
        <v>278</v>
      </c>
      <c r="C12" s="546" t="str">
        <f>"Includes "&amp;IF('DB-Utilities'!AD5=TRUE,"landscape irrigation, ","")&amp;IF('DB-Utilities'!AE5=TRUE,"laundry, ","")&amp;IF('DB-Utilities'!AF5=TRUE,"dishwashers, ", "")&amp;IF('DB-Utilities'!AG5="","", LOWER('DB-Utilities'!AG5)&amp;", ")&amp;"toilets, showers, kitchen and bathroom faucets"</f>
        <v>Includes landscape irrigation, laundry, dishwashers, toilets, showers, kitchen and bathroom faucets</v>
      </c>
      <c r="D12" s="547" t="str">
        <f>IF(AND('Input-Utilities'!D13&gt;0,'Input-Utilities'!G13&gt;0),"Owner and Tenant",IF('Input-Utilities'!D13&gt;0,"Owner",IF('Input-Utilities'!G13&gt;0,"Tenant","n/a")))</f>
        <v>Tenant</v>
      </c>
      <c r="E12" s="548">
        <f>'Input-Utilities'!D13</f>
        <v>0</v>
      </c>
      <c r="F12" s="549">
        <f>'Input-Utilities'!G13</f>
        <v>33952.93</v>
      </c>
      <c r="G12" s="550">
        <f>'Input-Utilities'!E13</f>
        <v>0</v>
      </c>
      <c r="H12" s="551">
        <f>'Input-Utilities'!H13</f>
        <v>7637734</v>
      </c>
      <c r="I12" s="552">
        <f t="shared" si="1"/>
        <v>7637734</v>
      </c>
      <c r="J12" s="553" t="str">
        <f>'Input-Utilities'!F13</f>
        <v>Gal</v>
      </c>
      <c r="K12" s="407" t="str">
        <f t="shared" ref="K12" si="2">IF(OR(B12="n/a", B12=0), "← Hide this row", "")</f>
        <v/>
      </c>
    </row>
    <row r="13" spans="1:15" ht="24.75" customHeight="1" x14ac:dyDescent="0.15">
      <c r="B13" s="1018" t="s">
        <v>618</v>
      </c>
      <c r="C13" s="1019"/>
      <c r="D13" s="1020"/>
      <c r="E13" s="554">
        <f>SUM(E9:E12)</f>
        <v>210405</v>
      </c>
      <c r="F13" s="555">
        <f>SUM(F9:F12)</f>
        <v>33952.93</v>
      </c>
      <c r="G13" s="1016" t="s">
        <v>619</v>
      </c>
      <c r="H13" s="1017"/>
      <c r="I13" s="556">
        <f>'Input-Utilities'!N14</f>
        <v>8482846.5399999991</v>
      </c>
      <c r="J13" s="557" t="s">
        <v>620</v>
      </c>
    </row>
    <row r="14" spans="1:15" ht="27" customHeight="1" x14ac:dyDescent="0.15">
      <c r="B14" s="1018" t="s">
        <v>621</v>
      </c>
      <c r="C14" s="1019"/>
      <c r="D14" s="1020"/>
      <c r="E14" s="1021">
        <f>SUM(E13:F13)</f>
        <v>244357.93</v>
      </c>
      <c r="F14" s="1022"/>
      <c r="G14" s="1016" t="s">
        <v>622</v>
      </c>
      <c r="H14" s="1017"/>
      <c r="I14" s="556">
        <f>'Input-Utilities'!N15</f>
        <v>7637.7340000000004</v>
      </c>
      <c r="J14" s="557" t="s">
        <v>623</v>
      </c>
    </row>
    <row r="18" spans="7:7" x14ac:dyDescent="0.15">
      <c r="G18" s="109" t="s">
        <v>624</v>
      </c>
    </row>
  </sheetData>
  <sheetProtection algorithmName="SHA-512" hashValue="mlc5qZtHUc2pxuJREeVzkqeQHLCiR5+ekhrsxpCBDihykLBhcMp04gtbU4Oye/3cfwDc+P349jyqIyaxTkR85A==" saltValue="5LuY9unbHJHk4UA81Sr2uw==" spinCount="100000" sheet="1" formatRows="0"/>
  <mergeCells count="8">
    <mergeCell ref="B4:J4"/>
    <mergeCell ref="E7:F7"/>
    <mergeCell ref="G13:H13"/>
    <mergeCell ref="B14:D14"/>
    <mergeCell ref="G14:H14"/>
    <mergeCell ref="E14:F14"/>
    <mergeCell ref="B13:D13"/>
    <mergeCell ref="G7:J7"/>
  </mergeCells>
  <pageMargins left="0.7" right="0.7" top="0.75" bottom="0.75" header="0.3" footer="0.3"/>
  <pageSetup paperSize="5" scale="84" orientation="landscape" r:id="rId1"/>
  <headerFooter>
    <oddFooter>&amp;L&amp;"Source Sans Pro,Regular"&amp;8© 2023 Fannie Mae. Trademarks of Fannie Mae._x000D_&amp;1#&amp;"Calibri"&amp;10&amp;K000000 Fannie Mae Confidential&amp;C&amp;"Source Sans Pro,Regular"&amp;8Form 4099.H - October 2023&amp;R&amp;"Source Sans Pro,Regular"&amp;8Page &amp;P of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1" tint="0.34998626667073579"/>
    <pageSetUpPr autoPageBreaks="0"/>
  </sheetPr>
  <dimension ref="B1:Q41"/>
  <sheetViews>
    <sheetView showGridLines="0" zoomScale="90" zoomScaleNormal="90" workbookViewId="0"/>
  </sheetViews>
  <sheetFormatPr baseColWidth="10" defaultColWidth="9.33203125" defaultRowHeight="11" x14ac:dyDescent="0.15"/>
  <cols>
    <col min="1" max="1" width="2.33203125" style="109" customWidth="1"/>
    <col min="2" max="2" width="8.5" style="109" customWidth="1"/>
    <col min="3" max="3" width="42.6640625" style="109" customWidth="1"/>
    <col min="4" max="5" width="14.6640625" style="109" customWidth="1"/>
    <col min="6" max="6" width="15.33203125" style="109" customWidth="1"/>
    <col min="7" max="8" width="14.6640625" style="109" customWidth="1"/>
    <col min="9" max="9" width="12.5" style="109" customWidth="1"/>
    <col min="10" max="10" width="11.6640625" style="109" customWidth="1"/>
    <col min="11" max="16384" width="9.33203125" style="109"/>
  </cols>
  <sheetData>
    <row r="1" spans="2:17" s="92" customFormat="1" ht="23.25" customHeight="1" x14ac:dyDescent="0.2">
      <c r="B1" s="90" t="s">
        <v>1</v>
      </c>
      <c r="C1" s="91"/>
      <c r="D1" s="91"/>
      <c r="E1" s="91"/>
      <c r="F1" s="91"/>
      <c r="G1" s="91"/>
      <c r="H1" s="91"/>
      <c r="I1" s="91"/>
      <c r="J1" s="91"/>
      <c r="M1" s="91"/>
    </row>
    <row r="2" spans="2:17" s="92" customFormat="1" ht="15" customHeight="1" x14ac:dyDescent="0.2">
      <c r="C2" s="91"/>
      <c r="D2" s="91"/>
      <c r="E2" s="91"/>
      <c r="F2" s="91"/>
      <c r="G2" s="91"/>
      <c r="H2" s="91"/>
      <c r="I2" s="91"/>
      <c r="J2" s="91"/>
      <c r="K2" s="558"/>
      <c r="L2" s="91"/>
      <c r="M2" s="91"/>
    </row>
    <row r="3" spans="2:17" s="92" customFormat="1" ht="25" x14ac:dyDescent="0.3">
      <c r="B3" s="107" t="s">
        <v>625</v>
      </c>
      <c r="G3" s="91"/>
      <c r="H3" s="91"/>
      <c r="K3" s="225"/>
    </row>
    <row r="4" spans="2:17" s="92" customFormat="1" ht="30" customHeight="1" x14ac:dyDescent="0.2">
      <c r="B4" s="877" t="s">
        <v>626</v>
      </c>
      <c r="C4" s="877"/>
      <c r="D4" s="877"/>
      <c r="E4" s="877"/>
      <c r="F4" s="877"/>
      <c r="G4" s="877"/>
      <c r="H4" s="877"/>
      <c r="I4" s="877"/>
      <c r="J4" s="752"/>
      <c r="K4" s="750"/>
      <c r="L4" s="752"/>
      <c r="M4" s="752"/>
      <c r="N4" s="752"/>
      <c r="O4" s="752"/>
      <c r="P4" s="752"/>
      <c r="Q4" s="752"/>
    </row>
    <row r="6" spans="2:17" ht="23.25" customHeight="1" x14ac:dyDescent="0.25">
      <c r="B6" s="147" t="s">
        <v>627</v>
      </c>
      <c r="C6" s="100"/>
      <c r="D6" s="100"/>
      <c r="E6" s="100"/>
    </row>
    <row r="7" spans="2:17" ht="8.25" customHeight="1" x14ac:dyDescent="0.2">
      <c r="B7" s="100"/>
      <c r="C7" s="100"/>
      <c r="D7" s="100"/>
      <c r="E7" s="100"/>
    </row>
    <row r="8" spans="2:17" s="92" customFormat="1" ht="24" x14ac:dyDescent="0.2">
      <c r="B8" s="834" t="s">
        <v>68</v>
      </c>
      <c r="C8" s="824" t="s">
        <v>628</v>
      </c>
      <c r="D8" s="559" t="s">
        <v>72</v>
      </c>
      <c r="E8" s="436" t="s">
        <v>73</v>
      </c>
      <c r="F8" s="514" t="s">
        <v>74</v>
      </c>
      <c r="G8" s="513" t="s">
        <v>50</v>
      </c>
      <c r="H8" s="760" t="s">
        <v>78</v>
      </c>
      <c r="I8" s="514" t="s">
        <v>51</v>
      </c>
      <c r="J8" s="225"/>
    </row>
    <row r="9" spans="2:17" s="92" customFormat="1" ht="12.75" customHeight="1" x14ac:dyDescent="0.2">
      <c r="B9" s="835"/>
      <c r="C9" s="826"/>
      <c r="D9" s="339" t="s">
        <v>391</v>
      </c>
      <c r="E9" s="560" t="s">
        <v>391</v>
      </c>
      <c r="F9" s="561" t="s">
        <v>391</v>
      </c>
      <c r="G9" s="562" t="s">
        <v>393</v>
      </c>
      <c r="H9" s="720" t="s">
        <v>393</v>
      </c>
      <c r="I9" s="561" t="s">
        <v>393</v>
      </c>
      <c r="J9" s="225"/>
    </row>
    <row r="10" spans="2:17" s="92" customFormat="1" ht="36" x14ac:dyDescent="0.2">
      <c r="B10" s="563">
        <v>1</v>
      </c>
      <c r="C10" s="564" t="str">
        <f>IF('Input-EWEMs'!F12="","", 'Input-EWEMs'!F12)</f>
        <v>Install 129 ENERGY STAR-certified smart thermostats in apartments. Install one thermostat in the living room of each apartment unit.</v>
      </c>
      <c r="D10" s="565">
        <f>'Input-EWEMs'!M12</f>
        <v>44080</v>
      </c>
      <c r="E10" s="566">
        <f>SUM('Input-EWEMs'!N12:O12)</f>
        <v>7612.474086294168</v>
      </c>
      <c r="F10" s="567">
        <f>SUM('Input-EWEMs'!Q12:R12)</f>
        <v>0</v>
      </c>
      <c r="G10" s="568">
        <f>'Input-EWEMs'!AH12</f>
        <v>3.0528780967432192E-2</v>
      </c>
      <c r="H10" s="721">
        <f>'Input-EWEMs'!AI12</f>
        <v>3.3810926766221383E-2</v>
      </c>
      <c r="I10" s="569">
        <f>'Input-EWEMs'!AJ12</f>
        <v>0</v>
      </c>
      <c r="J10" s="407" t="str">
        <f>IF(C10="", "← Hide this row", "")</f>
        <v/>
      </c>
    </row>
    <row r="11" spans="2:17" s="92" customFormat="1" ht="36" x14ac:dyDescent="0.2">
      <c r="B11" s="570">
        <v>2</v>
      </c>
      <c r="C11" s="564" t="str">
        <f>IF('Input-EWEMs'!F13="","", 'Input-EWEMs'!F13)</f>
        <v>Install high efficiency heat pumps (10 HSPF, 16 SEER) in apartments to replace existing furnaces and AC units. Equipment must be ENERGY STAR-certified.</v>
      </c>
      <c r="D11" s="565">
        <f>'Input-EWEMs'!M13</f>
        <v>608000</v>
      </c>
      <c r="E11" s="566">
        <f>SUM('Input-EWEMs'!N13:O13)</f>
        <v>11513.076616260234</v>
      </c>
      <c r="F11" s="567">
        <f>SUM('Input-EWEMs'!Q13:R13)</f>
        <v>0</v>
      </c>
      <c r="G11" s="568">
        <f>'Input-EWEMs'!AH13</f>
        <v>5.9001076777701562E-2</v>
      </c>
      <c r="H11" s="721">
        <f>'Input-EWEMs'!AI13</f>
        <v>5.2732602544724366E-2</v>
      </c>
      <c r="I11" s="569">
        <f>'Input-EWEMs'!AJ13</f>
        <v>0</v>
      </c>
      <c r="J11" s="407" t="str">
        <f t="shared" ref="J11:J28" si="0">IF(C11="", "← Hide this row", "")</f>
        <v/>
      </c>
    </row>
    <row r="12" spans="2:17" s="92" customFormat="1" ht="36" x14ac:dyDescent="0.2">
      <c r="B12" s="570">
        <v>3</v>
      </c>
      <c r="C12" s="564" t="str">
        <f>IF('Input-EWEMs'!F14="","", 'Input-EWEMs'!F14)</f>
        <v>Insulate all exposed hot water piping located in the basement mechanical rooms, using foam insulation with an R-value of 3 or above.</v>
      </c>
      <c r="D12" s="565">
        <f>'Input-EWEMs'!M14</f>
        <v>3750</v>
      </c>
      <c r="E12" s="566">
        <f>SUM('Input-EWEMs'!N14:O14)</f>
        <v>1337.2281171847087</v>
      </c>
      <c r="F12" s="567">
        <f>SUM('Input-EWEMs'!Q14:R14)</f>
        <v>0</v>
      </c>
      <c r="G12" s="568">
        <f>'Input-EWEMs'!AH14</f>
        <v>1.2106785088676143E-2</v>
      </c>
      <c r="H12" s="721">
        <f>'Input-EWEMs'!AI14</f>
        <v>6.7788546252436164E-3</v>
      </c>
      <c r="I12" s="569">
        <f>'Input-EWEMs'!AJ14</f>
        <v>0</v>
      </c>
      <c r="J12" s="407" t="str">
        <f t="shared" si="0"/>
        <v/>
      </c>
    </row>
    <row r="13" spans="2:17" s="92" customFormat="1" ht="24" x14ac:dyDescent="0.2">
      <c r="B13" s="570">
        <v>4</v>
      </c>
      <c r="C13" s="564" t="str">
        <f>IF('Input-EWEMs'!F15="","", 'Input-EWEMs'!F15)</f>
        <v xml:space="preserve">Upgrade non-LED lighting in all apartments to LED. Refer to HPB report for replacement lighting specifications. </v>
      </c>
      <c r="D13" s="565">
        <f>'Input-EWEMs'!M15</f>
        <v>49970</v>
      </c>
      <c r="E13" s="566">
        <f>SUM('Input-EWEMs'!N15:O15)</f>
        <v>11497.268911149706</v>
      </c>
      <c r="F13" s="567">
        <f>SUM('Input-EWEMs'!Q15:R15)</f>
        <v>0</v>
      </c>
      <c r="G13" s="568">
        <f>'Input-EWEMs'!AH15</f>
        <v>4.4075648219848627E-2</v>
      </c>
      <c r="H13" s="721">
        <f>'Input-EWEMs'!AI15</f>
        <v>5.0812279857204365E-2</v>
      </c>
      <c r="I13" s="569">
        <f>'Input-EWEMs'!AJ15</f>
        <v>0</v>
      </c>
      <c r="J13" s="407" t="str">
        <f t="shared" si="0"/>
        <v/>
      </c>
    </row>
    <row r="14" spans="2:17" s="92" customFormat="1" ht="36" x14ac:dyDescent="0.2">
      <c r="B14" s="570">
        <v>5</v>
      </c>
      <c r="C14" s="564" t="str">
        <f>IF('Input-EWEMs'!F16="","", 'Input-EWEMs'!F16)</f>
        <v xml:space="preserve">Upgrade all lighting in building common areas and exterior to LED. Refer to HPB report for replacement lighting specifications. </v>
      </c>
      <c r="D14" s="565">
        <f>'Input-EWEMs'!M16</f>
        <v>40075</v>
      </c>
      <c r="E14" s="566">
        <f>SUM('Input-EWEMs'!N16:O16)</f>
        <v>5475.4195601136944</v>
      </c>
      <c r="F14" s="567">
        <f>SUM('Input-EWEMs'!Q16:R16)</f>
        <v>0</v>
      </c>
      <c r="G14" s="568">
        <f>'Input-EWEMs'!AH16</f>
        <v>2.0990434185079579E-2</v>
      </c>
      <c r="H14" s="721">
        <f>'Input-EWEMs'!AI16</f>
        <v>2.4198664324037847E-2</v>
      </c>
      <c r="I14" s="569">
        <f>'Input-EWEMs'!AJ16</f>
        <v>0</v>
      </c>
      <c r="J14" s="407" t="str">
        <f t="shared" si="0"/>
        <v/>
      </c>
    </row>
    <row r="15" spans="2:17" s="92" customFormat="1" ht="24" x14ac:dyDescent="0.2">
      <c r="B15" s="570">
        <v>6</v>
      </c>
      <c r="C15" s="564" t="str">
        <f>IF('Input-EWEMs'!F17="","", 'Input-EWEMs'!F17)</f>
        <v>Add occupancy sensor controls to the offices, club room, and bathrooms, in the rental office building and all laundry rooms.</v>
      </c>
      <c r="D15" s="565">
        <f>'Input-EWEMs'!M17</f>
        <v>6000</v>
      </c>
      <c r="E15" s="566">
        <f>SUM('Input-EWEMs'!N17:O17)</f>
        <v>378.03120904245657</v>
      </c>
      <c r="F15" s="567">
        <f>SUM('Input-EWEMs'!Q17:R17)</f>
        <v>0</v>
      </c>
      <c r="G15" s="568">
        <f>'Input-EWEMs'!AH17</f>
        <v>1.4492111748139677E-3</v>
      </c>
      <c r="H15" s="721">
        <f>'Input-EWEMs'!AI17</f>
        <v>1.6707122132278459E-3</v>
      </c>
      <c r="I15" s="569">
        <f>'Input-EWEMs'!AJ17</f>
        <v>0</v>
      </c>
      <c r="J15" s="407" t="str">
        <f t="shared" si="0"/>
        <v/>
      </c>
    </row>
    <row r="16" spans="2:17" s="92" customFormat="1" ht="24" x14ac:dyDescent="0.2">
      <c r="B16" s="570">
        <v>7</v>
      </c>
      <c r="C16" s="564" t="str">
        <f>IF('Input-EWEMs'!F18="","", 'Input-EWEMs'!F18)</f>
        <v>Replace all 129 apartment refrigerators with ENERGY STAR-certified models.</v>
      </c>
      <c r="D16" s="565">
        <f>'Input-EWEMs'!M18</f>
        <v>60000</v>
      </c>
      <c r="E16" s="566">
        <f>SUM('Input-EWEMs'!N18:O18)</f>
        <v>2067.7876957559629</v>
      </c>
      <c r="F16" s="567">
        <f>SUM('Input-EWEMs'!Q18:R18)</f>
        <v>0</v>
      </c>
      <c r="G16" s="568">
        <f>'Input-EWEMs'!AH18</f>
        <v>7.9270202146082911E-3</v>
      </c>
      <c r="H16" s="721">
        <f>'Input-EWEMs'!AI18</f>
        <v>9.1386056892296379E-3</v>
      </c>
      <c r="I16" s="569">
        <f>'Input-EWEMs'!AJ18</f>
        <v>0</v>
      </c>
      <c r="J16" s="407" t="str">
        <f t="shared" si="0"/>
        <v/>
      </c>
    </row>
    <row r="17" spans="2:10" s="92" customFormat="1" ht="24" x14ac:dyDescent="0.2">
      <c r="B17" s="570">
        <v>8</v>
      </c>
      <c r="C17" s="564" t="str">
        <f>IF('Input-EWEMs'!F19="","", 'Input-EWEMs'!F19)</f>
        <v>Replace all 129 apartment dishwashers with ENERGY STAR-certified models.</v>
      </c>
      <c r="D17" s="565">
        <f>'Input-EWEMs'!M19</f>
        <v>113200</v>
      </c>
      <c r="E17" s="566">
        <f>SUM('Input-EWEMs'!N19:O19)</f>
        <v>406.04517873835886</v>
      </c>
      <c r="F17" s="567">
        <f>SUM('Input-EWEMs'!Q19:R19)</f>
        <v>355.63354261879243</v>
      </c>
      <c r="G17" s="568">
        <f>'Input-EWEMs'!AH19</f>
        <v>1.5566048422231628E-3</v>
      </c>
      <c r="H17" s="721">
        <f>'Input-EWEMs'!AI19</f>
        <v>1.7945201957234981E-3</v>
      </c>
      <c r="I17" s="569">
        <f>'Input-EWEMs'!AJ19</f>
        <v>1.047431083617209E-2</v>
      </c>
      <c r="J17" s="407" t="str">
        <f t="shared" si="0"/>
        <v/>
      </c>
    </row>
    <row r="18" spans="2:10" s="92" customFormat="1" ht="24" x14ac:dyDescent="0.2">
      <c r="B18" s="570">
        <v>9</v>
      </c>
      <c r="C18" s="564" t="str">
        <f>IF('Input-EWEMs'!F20="","", 'Input-EWEMs'!F20)</f>
        <v>Install 235 low-flow 1.0 GPM WaterSense-certified bathroom faucet aerators.</v>
      </c>
      <c r="D18" s="565">
        <f>'Input-EWEMs'!M20</f>
        <v>2851</v>
      </c>
      <c r="E18" s="566">
        <f>SUM('Input-EWEMs'!N20:O20)</f>
        <v>997.38728117184701</v>
      </c>
      <c r="F18" s="567">
        <f>SUM('Input-EWEMs'!Q20:R20)</f>
        <v>1111.3548206837265</v>
      </c>
      <c r="G18" s="568">
        <f>'Input-EWEMs'!AH20</f>
        <v>9.0299877097623424E-3</v>
      </c>
      <c r="H18" s="721">
        <f>'Input-EWEMs'!AI20</f>
        <v>5.0560882599188029E-3</v>
      </c>
      <c r="I18" s="569">
        <f>'Input-EWEMs'!AJ20</f>
        <v>3.2732221363037779E-2</v>
      </c>
      <c r="J18" s="407" t="str">
        <f t="shared" si="0"/>
        <v/>
      </c>
    </row>
    <row r="19" spans="2:10" s="92" customFormat="1" ht="15" x14ac:dyDescent="0.2">
      <c r="B19" s="570">
        <v>10</v>
      </c>
      <c r="C19" s="564" t="str">
        <f>IF('Input-EWEMs'!F21="","", 'Input-EWEMs'!F21)</f>
        <v>Install 129 low-flow 1.5 GPM kitchen faucet aerators.</v>
      </c>
      <c r="D19" s="565">
        <f>'Input-EWEMs'!M21</f>
        <v>1851</v>
      </c>
      <c r="E19" s="566">
        <f>SUM('Input-EWEMs'!N21:O21)</f>
        <v>1199.2084673097534</v>
      </c>
      <c r="F19" s="567">
        <f>SUM('Input-EWEMs'!Q21:R21)</f>
        <v>1911.5302915760094</v>
      </c>
      <c r="G19" s="568">
        <f>'Input-EWEMs'!AH21</f>
        <v>1.0857204543983182E-2</v>
      </c>
      <c r="H19" s="721">
        <f>'Input-EWEMs'!AI21</f>
        <v>6.0791870592496302E-3</v>
      </c>
      <c r="I19" s="569">
        <f>'Input-EWEMs'!AJ21</f>
        <v>5.6299420744424983E-2</v>
      </c>
      <c r="J19" s="407" t="str">
        <f t="shared" si="0"/>
        <v/>
      </c>
    </row>
    <row r="20" spans="2:10" s="92" customFormat="1" ht="15" x14ac:dyDescent="0.2">
      <c r="B20" s="570">
        <v>11</v>
      </c>
      <c r="C20" s="564" t="str">
        <f>IF('Input-EWEMs'!F22="","", 'Input-EWEMs'!F22)</f>
        <v>Install 181 low-flow 1.5 GPM WaterSense-certified showerheads.</v>
      </c>
      <c r="D20" s="565">
        <f>'Input-EWEMs'!M22</f>
        <v>6983</v>
      </c>
      <c r="E20" s="566">
        <f>SUM('Input-EWEMs'!N22:O22)</f>
        <v>2679.664523043944</v>
      </c>
      <c r="F20" s="567">
        <f>SUM('Input-EWEMs'!Q22:R22)</f>
        <v>3202.9245932104996</v>
      </c>
      <c r="G20" s="568">
        <f>'Input-EWEMs'!AH22</f>
        <v>2.4260724160170888E-2</v>
      </c>
      <c r="H20" s="721">
        <f>'Input-EWEMs'!AI22</f>
        <v>1.3584111800147382E-2</v>
      </c>
      <c r="I20" s="569">
        <f>'Input-EWEMs'!AJ22</f>
        <v>9.433426196827488E-2</v>
      </c>
      <c r="J20" s="407" t="str">
        <f t="shared" si="0"/>
        <v/>
      </c>
    </row>
    <row r="21" spans="2:10" s="92" customFormat="1" ht="15" x14ac:dyDescent="0.2">
      <c r="B21" s="570">
        <v>12</v>
      </c>
      <c r="C21" s="564" t="str">
        <f>IF('Input-EWEMs'!F23="","", 'Input-EWEMs'!F23)</f>
        <v>Install 235 0.8 GPF WaterSense-certified toilets.</v>
      </c>
      <c r="D21" s="565">
        <f>'Input-EWEMs'!M23</f>
        <v>53675</v>
      </c>
      <c r="E21" s="566">
        <f>SUM('Input-EWEMs'!N23:O23)</f>
        <v>0</v>
      </c>
      <c r="F21" s="567">
        <f>SUM('Input-EWEMs'!Q23:R23)</f>
        <v>6223.5869958288677</v>
      </c>
      <c r="G21" s="568">
        <f>'Input-EWEMs'!AH23</f>
        <v>0</v>
      </c>
      <c r="H21" s="721">
        <f>'Input-EWEMs'!AI23</f>
        <v>0</v>
      </c>
      <c r="I21" s="569">
        <f>'Input-EWEMs'!AJ23</f>
        <v>0.18330043963301157</v>
      </c>
      <c r="J21" s="407" t="str">
        <f t="shared" si="0"/>
        <v/>
      </c>
    </row>
    <row r="22" spans="2:10" s="92" customFormat="1" ht="24" x14ac:dyDescent="0.2">
      <c r="B22" s="570">
        <v>13</v>
      </c>
      <c r="C22" s="564" t="str">
        <f>IF('Input-EWEMs'!F24="","", 'Input-EWEMs'!F24)</f>
        <v>Upgrade existing 5-HP continuous-speed pool pump to VSD-controlled pool pump.</v>
      </c>
      <c r="D22" s="565">
        <f>'Input-EWEMs'!M24</f>
        <v>2000</v>
      </c>
      <c r="E22" s="566">
        <f>SUM('Input-EWEMs'!N24:O24)</f>
        <v>228.6233706643111</v>
      </c>
      <c r="F22" s="567">
        <f>SUM('Input-EWEMs'!Q24:R24)</f>
        <v>0</v>
      </c>
      <c r="G22" s="568">
        <f>'Input-EWEMs'!AH24</f>
        <v>8.764449486315946E-4</v>
      </c>
      <c r="H22" s="721">
        <f>'Input-EWEMs'!AI24</f>
        <v>1.0104029732510343E-3</v>
      </c>
      <c r="I22" s="569">
        <f>'Input-EWEMs'!AJ24</f>
        <v>0</v>
      </c>
      <c r="J22" s="407" t="str">
        <f t="shared" si="0"/>
        <v/>
      </c>
    </row>
    <row r="23" spans="2:10" s="92" customFormat="1" ht="48" x14ac:dyDescent="0.2">
      <c r="B23" s="570">
        <v>14</v>
      </c>
      <c r="C23" s="564" t="str">
        <f>IF('Input-EWEMs'!F25="","", 'Input-EWEMs'!F25)</f>
        <v>Install grid-tied 850.8 kW Solar PV system comprised of 520.8 kW roof-mounted (non-ballasted) and 330 kW canopy-mounted arrays. Selective tree trimming and roof replacement must be included.</v>
      </c>
      <c r="D23" s="565">
        <f>'Input-EWEMs'!M25</f>
        <v>2537077</v>
      </c>
      <c r="E23" s="566">
        <f>SUM('Input-EWEMs'!N25:O25)</f>
        <v>156682.02758794662</v>
      </c>
      <c r="F23" s="567">
        <f>SUM('Input-EWEMs'!Q25:R25)</f>
        <v>0</v>
      </c>
      <c r="G23" s="568">
        <f>'Input-EWEMs'!AH25</f>
        <v>0.60065237959615392</v>
      </c>
      <c r="H23" s="721">
        <f>'Input-EWEMs'!AI25</f>
        <v>0.69245758239787369</v>
      </c>
      <c r="I23" s="569">
        <f>'Input-EWEMs'!AJ25</f>
        <v>0</v>
      </c>
      <c r="J23" s="407" t="str">
        <f t="shared" si="0"/>
        <v/>
      </c>
    </row>
    <row r="24" spans="2:10" s="166" customFormat="1" ht="36" x14ac:dyDescent="0.2">
      <c r="B24" s="570">
        <v>15</v>
      </c>
      <c r="C24" s="564" t="str">
        <f>IF('Input-EWEMs'!F26="","", 'Input-EWEMs'!F26)</f>
        <v>Install foam roof overlap on top of existing roof for building A,B,E,F,G,H,I and leasing office. Must be included if EWEM "install photovoltaic system" is selected.</v>
      </c>
      <c r="D24" s="565">
        <f>'Input-EWEMs'!M26</f>
        <v>280000</v>
      </c>
      <c r="E24" s="566">
        <f>SUM('Input-EWEMs'!N26:O26)</f>
        <v>0</v>
      </c>
      <c r="F24" s="567">
        <f>SUM('Input-EWEMs'!Q26:R26)</f>
        <v>0</v>
      </c>
      <c r="G24" s="568">
        <f>'Input-EWEMs'!AH26</f>
        <v>0</v>
      </c>
      <c r="H24" s="721">
        <f>'Input-EWEMs'!AI26</f>
        <v>0</v>
      </c>
      <c r="I24" s="569">
        <f>'Input-EWEMs'!AJ26</f>
        <v>0</v>
      </c>
      <c r="J24" s="407" t="str">
        <f t="shared" si="0"/>
        <v/>
      </c>
    </row>
    <row r="25" spans="2:10" s="92" customFormat="1" ht="15" hidden="1" x14ac:dyDescent="0.2">
      <c r="B25" s="570">
        <v>16</v>
      </c>
      <c r="C25" s="564" t="str">
        <f>IF('Input-EWEMs'!F27="","", 'Input-EWEMs'!F27)</f>
        <v/>
      </c>
      <c r="D25" s="565" t="str">
        <f>'Input-EWEMs'!M27</f>
        <v/>
      </c>
      <c r="E25" s="566">
        <f>SUM('Input-EWEMs'!N27:O27)</f>
        <v>0</v>
      </c>
      <c r="F25" s="567">
        <f>SUM('Input-EWEMs'!Q27:R27)</f>
        <v>0</v>
      </c>
      <c r="G25" s="568" t="str">
        <f>'Input-EWEMs'!AH27</f>
        <v/>
      </c>
      <c r="H25" s="721" t="str">
        <f>'Input-EWEMs'!AI27</f>
        <v/>
      </c>
      <c r="I25" s="569" t="str">
        <f>'Input-EWEMs'!AJ27</f>
        <v/>
      </c>
      <c r="J25" s="407" t="str">
        <f t="shared" si="0"/>
        <v>← Hide this row</v>
      </c>
    </row>
    <row r="26" spans="2:10" s="92" customFormat="1" ht="15" hidden="1" x14ac:dyDescent="0.2">
      <c r="B26" s="570">
        <v>17</v>
      </c>
      <c r="C26" s="564" t="str">
        <f>IF('Input-EWEMs'!F28="","", 'Input-EWEMs'!F28)</f>
        <v/>
      </c>
      <c r="D26" s="565" t="str">
        <f>'Input-EWEMs'!M28</f>
        <v/>
      </c>
      <c r="E26" s="566">
        <f>SUM('Input-EWEMs'!N28:O28)</f>
        <v>0</v>
      </c>
      <c r="F26" s="567">
        <f>SUM('Input-EWEMs'!Q28:R28)</f>
        <v>0</v>
      </c>
      <c r="G26" s="568" t="str">
        <f>'Input-EWEMs'!AH28</f>
        <v/>
      </c>
      <c r="H26" s="721" t="str">
        <f>'Input-EWEMs'!AI28</f>
        <v/>
      </c>
      <c r="I26" s="569" t="str">
        <f>'Input-EWEMs'!AJ28</f>
        <v/>
      </c>
      <c r="J26" s="407" t="str">
        <f t="shared" si="0"/>
        <v>← Hide this row</v>
      </c>
    </row>
    <row r="27" spans="2:10" s="92" customFormat="1" ht="15" hidden="1" x14ac:dyDescent="0.2">
      <c r="B27" s="570">
        <v>18</v>
      </c>
      <c r="C27" s="564" t="str">
        <f>IF('Input-EWEMs'!F29="","", 'Input-EWEMs'!F29)</f>
        <v/>
      </c>
      <c r="D27" s="565" t="str">
        <f>'Input-EWEMs'!M29</f>
        <v/>
      </c>
      <c r="E27" s="566">
        <f>SUM('Input-EWEMs'!N29:O29)</f>
        <v>0</v>
      </c>
      <c r="F27" s="567">
        <f>SUM('Input-EWEMs'!Q29:R29)</f>
        <v>0</v>
      </c>
      <c r="G27" s="568" t="str">
        <f>'Input-EWEMs'!AH29</f>
        <v/>
      </c>
      <c r="H27" s="721" t="str">
        <f>'Input-EWEMs'!AI29</f>
        <v/>
      </c>
      <c r="I27" s="569" t="str">
        <f>'Input-EWEMs'!AJ29</f>
        <v/>
      </c>
      <c r="J27" s="407" t="str">
        <f t="shared" si="0"/>
        <v>← Hide this row</v>
      </c>
    </row>
    <row r="28" spans="2:10" s="92" customFormat="1" ht="15" hidden="1" x14ac:dyDescent="0.2">
      <c r="B28" s="570">
        <v>19</v>
      </c>
      <c r="C28" s="564" t="str">
        <f>IF('Input-EWEMs'!F30="","", 'Input-EWEMs'!F30)</f>
        <v/>
      </c>
      <c r="D28" s="565" t="str">
        <f>'Input-EWEMs'!M30</f>
        <v/>
      </c>
      <c r="E28" s="566">
        <f>SUM('Input-EWEMs'!N30:O30)</f>
        <v>0</v>
      </c>
      <c r="F28" s="567">
        <f>SUM('Input-EWEMs'!Q30:R30)</f>
        <v>0</v>
      </c>
      <c r="G28" s="568" t="str">
        <f>'Input-EWEMs'!AH30</f>
        <v/>
      </c>
      <c r="H28" s="721" t="str">
        <f>'Input-EWEMs'!AI30</f>
        <v/>
      </c>
      <c r="I28" s="569" t="str">
        <f>'Input-EWEMs'!AJ30</f>
        <v/>
      </c>
      <c r="J28" s="407" t="str">
        <f t="shared" si="0"/>
        <v>← Hide this row</v>
      </c>
    </row>
    <row r="29" spans="2:10" s="92" customFormat="1" ht="15" hidden="1" x14ac:dyDescent="0.2">
      <c r="B29" s="570">
        <v>20</v>
      </c>
      <c r="C29" s="564" t="str">
        <f>IF('Input-EWEMs'!F31="","", 'Input-EWEMs'!F31)</f>
        <v/>
      </c>
      <c r="D29" s="565" t="str">
        <f>'Input-EWEMs'!M31</f>
        <v/>
      </c>
      <c r="E29" s="566">
        <f>SUM('Input-EWEMs'!N31:O31)</f>
        <v>0</v>
      </c>
      <c r="F29" s="567">
        <f>SUM('Input-EWEMs'!Q31:R31)</f>
        <v>0</v>
      </c>
      <c r="G29" s="568" t="str">
        <f>'Input-EWEMs'!AH31</f>
        <v/>
      </c>
      <c r="H29" s="721" t="str">
        <f>'Input-EWEMs'!AI31</f>
        <v/>
      </c>
      <c r="I29" s="569" t="str">
        <f>'Input-EWEMs'!AJ31</f>
        <v/>
      </c>
      <c r="J29" s="407" t="str">
        <f t="shared" ref="J29:J39" si="1">IF(C29="", "← Hide this row", "")</f>
        <v>← Hide this row</v>
      </c>
    </row>
    <row r="30" spans="2:10" s="92" customFormat="1" ht="15" hidden="1" x14ac:dyDescent="0.2">
      <c r="B30" s="570">
        <v>21</v>
      </c>
      <c r="C30" s="564" t="str">
        <f>IF('Input-EWEMs'!F32="","", 'Input-EWEMs'!F32)</f>
        <v/>
      </c>
      <c r="D30" s="565" t="str">
        <f>'Input-EWEMs'!M32</f>
        <v/>
      </c>
      <c r="E30" s="566">
        <f>SUM('Input-EWEMs'!N32:O32)</f>
        <v>0</v>
      </c>
      <c r="F30" s="567">
        <f>SUM('Input-EWEMs'!Q32:R32)</f>
        <v>0</v>
      </c>
      <c r="G30" s="568" t="str">
        <f>'Input-EWEMs'!AH32</f>
        <v/>
      </c>
      <c r="H30" s="721" t="str">
        <f>'Input-EWEMs'!AI32</f>
        <v/>
      </c>
      <c r="I30" s="569" t="str">
        <f>'Input-EWEMs'!AJ32</f>
        <v/>
      </c>
      <c r="J30" s="407" t="str">
        <f t="shared" si="1"/>
        <v>← Hide this row</v>
      </c>
    </row>
    <row r="31" spans="2:10" s="92" customFormat="1" ht="15" hidden="1" x14ac:dyDescent="0.2">
      <c r="B31" s="570">
        <v>22</v>
      </c>
      <c r="C31" s="564" t="str">
        <f>IF('Input-EWEMs'!F33="","", 'Input-EWEMs'!F33)</f>
        <v/>
      </c>
      <c r="D31" s="565" t="str">
        <f>'Input-EWEMs'!M33</f>
        <v/>
      </c>
      <c r="E31" s="566">
        <f>SUM('Input-EWEMs'!N33:O33)</f>
        <v>0</v>
      </c>
      <c r="F31" s="567">
        <f>SUM('Input-EWEMs'!Q33:R33)</f>
        <v>0</v>
      </c>
      <c r="G31" s="568" t="str">
        <f>'Input-EWEMs'!AH33</f>
        <v/>
      </c>
      <c r="H31" s="721" t="str">
        <f>'Input-EWEMs'!AI33</f>
        <v/>
      </c>
      <c r="I31" s="569" t="str">
        <f>'Input-EWEMs'!AJ33</f>
        <v/>
      </c>
      <c r="J31" s="407" t="str">
        <f t="shared" si="1"/>
        <v>← Hide this row</v>
      </c>
    </row>
    <row r="32" spans="2:10" s="92" customFormat="1" ht="15" hidden="1" x14ac:dyDescent="0.2">
      <c r="B32" s="570">
        <v>23</v>
      </c>
      <c r="C32" s="564" t="str">
        <f>IF('Input-EWEMs'!F34="","", 'Input-EWEMs'!F34)</f>
        <v/>
      </c>
      <c r="D32" s="565" t="str">
        <f>'Input-EWEMs'!M34</f>
        <v/>
      </c>
      <c r="E32" s="566">
        <f>SUM('Input-EWEMs'!N34:O34)</f>
        <v>0</v>
      </c>
      <c r="F32" s="567">
        <f>SUM('Input-EWEMs'!Q34:R34)</f>
        <v>0</v>
      </c>
      <c r="G32" s="568" t="str">
        <f>'Input-EWEMs'!AH34</f>
        <v/>
      </c>
      <c r="H32" s="721" t="str">
        <f>'Input-EWEMs'!AI34</f>
        <v/>
      </c>
      <c r="I32" s="569" t="str">
        <f>'Input-EWEMs'!AJ34</f>
        <v/>
      </c>
      <c r="J32" s="407" t="str">
        <f t="shared" si="1"/>
        <v>← Hide this row</v>
      </c>
    </row>
    <row r="33" spans="2:10" s="92" customFormat="1" ht="15" hidden="1" x14ac:dyDescent="0.2">
      <c r="B33" s="570">
        <v>24</v>
      </c>
      <c r="C33" s="564" t="str">
        <f>IF('Input-EWEMs'!F35="","", 'Input-EWEMs'!F35)</f>
        <v/>
      </c>
      <c r="D33" s="565" t="str">
        <f>'Input-EWEMs'!M35</f>
        <v/>
      </c>
      <c r="E33" s="566">
        <f>SUM('Input-EWEMs'!N35:O35)</f>
        <v>0</v>
      </c>
      <c r="F33" s="567">
        <f>SUM('Input-EWEMs'!Q35:R35)</f>
        <v>0</v>
      </c>
      <c r="G33" s="568" t="str">
        <f>'Input-EWEMs'!AH35</f>
        <v/>
      </c>
      <c r="H33" s="721" t="str">
        <f>'Input-EWEMs'!AI35</f>
        <v/>
      </c>
      <c r="I33" s="569" t="str">
        <f>'Input-EWEMs'!AJ35</f>
        <v/>
      </c>
      <c r="J33" s="407" t="str">
        <f t="shared" si="1"/>
        <v>← Hide this row</v>
      </c>
    </row>
    <row r="34" spans="2:10" s="92" customFormat="1" ht="15" hidden="1" x14ac:dyDescent="0.2">
      <c r="B34" s="570">
        <v>25</v>
      </c>
      <c r="C34" s="564" t="str">
        <f>IF('Input-EWEMs'!F36="","", 'Input-EWEMs'!F36)</f>
        <v/>
      </c>
      <c r="D34" s="565" t="str">
        <f>'Input-EWEMs'!M36</f>
        <v/>
      </c>
      <c r="E34" s="566">
        <f>SUM('Input-EWEMs'!N36:O36)</f>
        <v>0</v>
      </c>
      <c r="F34" s="567">
        <f>SUM('Input-EWEMs'!Q36:R36)</f>
        <v>0</v>
      </c>
      <c r="G34" s="568" t="str">
        <f>'Input-EWEMs'!AH36</f>
        <v/>
      </c>
      <c r="H34" s="721" t="str">
        <f>'Input-EWEMs'!AI36</f>
        <v/>
      </c>
      <c r="I34" s="569" t="str">
        <f>'Input-EWEMs'!AJ36</f>
        <v/>
      </c>
      <c r="J34" s="407" t="str">
        <f t="shared" si="1"/>
        <v>← Hide this row</v>
      </c>
    </row>
    <row r="35" spans="2:10" s="92" customFormat="1" ht="15" hidden="1" x14ac:dyDescent="0.2">
      <c r="B35" s="570">
        <v>26</v>
      </c>
      <c r="C35" s="564" t="str">
        <f>IF('Input-EWEMs'!F37="","", 'Input-EWEMs'!F37)</f>
        <v/>
      </c>
      <c r="D35" s="565" t="str">
        <f>'Input-EWEMs'!M37</f>
        <v/>
      </c>
      <c r="E35" s="566">
        <f>SUM('Input-EWEMs'!N37:O37)</f>
        <v>0</v>
      </c>
      <c r="F35" s="567">
        <f>SUM('Input-EWEMs'!Q37:R37)</f>
        <v>0</v>
      </c>
      <c r="G35" s="568" t="str">
        <f>'Input-EWEMs'!AH37</f>
        <v/>
      </c>
      <c r="H35" s="721" t="str">
        <f>'Input-EWEMs'!AI37</f>
        <v/>
      </c>
      <c r="I35" s="569" t="str">
        <f>'Input-EWEMs'!AJ37</f>
        <v/>
      </c>
      <c r="J35" s="407" t="str">
        <f t="shared" si="1"/>
        <v>← Hide this row</v>
      </c>
    </row>
    <row r="36" spans="2:10" s="92" customFormat="1" ht="15" hidden="1" x14ac:dyDescent="0.2">
      <c r="B36" s="570">
        <v>27</v>
      </c>
      <c r="C36" s="564" t="str">
        <f>IF('Input-EWEMs'!F38="","", 'Input-EWEMs'!F38)</f>
        <v/>
      </c>
      <c r="D36" s="565" t="str">
        <f>'Input-EWEMs'!M38</f>
        <v/>
      </c>
      <c r="E36" s="566">
        <f>SUM('Input-EWEMs'!N38:O38)</f>
        <v>0</v>
      </c>
      <c r="F36" s="567">
        <f>SUM('Input-EWEMs'!Q38:R38)</f>
        <v>0</v>
      </c>
      <c r="G36" s="568" t="str">
        <f>'Input-EWEMs'!AH38</f>
        <v/>
      </c>
      <c r="H36" s="721" t="str">
        <f>'Input-EWEMs'!AI38</f>
        <v/>
      </c>
      <c r="I36" s="569" t="str">
        <f>'Input-EWEMs'!AJ38</f>
        <v/>
      </c>
      <c r="J36" s="407" t="str">
        <f t="shared" si="1"/>
        <v>← Hide this row</v>
      </c>
    </row>
    <row r="37" spans="2:10" s="92" customFormat="1" ht="15" hidden="1" x14ac:dyDescent="0.2">
      <c r="B37" s="570">
        <v>28</v>
      </c>
      <c r="C37" s="564" t="str">
        <f>IF('Input-EWEMs'!F39="","", 'Input-EWEMs'!F39)</f>
        <v/>
      </c>
      <c r="D37" s="565" t="str">
        <f>'Input-EWEMs'!M39</f>
        <v/>
      </c>
      <c r="E37" s="566">
        <f>SUM('Input-EWEMs'!N39:O39)</f>
        <v>0</v>
      </c>
      <c r="F37" s="567">
        <f>SUM('Input-EWEMs'!Q39:R39)</f>
        <v>0</v>
      </c>
      <c r="G37" s="568" t="str">
        <f>'Input-EWEMs'!AH39</f>
        <v/>
      </c>
      <c r="H37" s="721" t="str">
        <f>'Input-EWEMs'!AI39</f>
        <v/>
      </c>
      <c r="I37" s="569" t="str">
        <f>'Input-EWEMs'!AJ39</f>
        <v/>
      </c>
      <c r="J37" s="407" t="str">
        <f t="shared" si="1"/>
        <v>← Hide this row</v>
      </c>
    </row>
    <row r="38" spans="2:10" s="92" customFormat="1" ht="15" hidden="1" x14ac:dyDescent="0.2">
      <c r="B38" s="570">
        <v>29</v>
      </c>
      <c r="C38" s="564" t="str">
        <f>IF('Input-EWEMs'!F40="","", 'Input-EWEMs'!F40)</f>
        <v/>
      </c>
      <c r="D38" s="565" t="str">
        <f>'Input-EWEMs'!M40</f>
        <v/>
      </c>
      <c r="E38" s="566">
        <f>SUM('Input-EWEMs'!N40:O40)</f>
        <v>0</v>
      </c>
      <c r="F38" s="567">
        <f>SUM('Input-EWEMs'!Q40:R40)</f>
        <v>0</v>
      </c>
      <c r="G38" s="568" t="str">
        <f>'Input-EWEMs'!AH40</f>
        <v/>
      </c>
      <c r="H38" s="721" t="str">
        <f>'Input-EWEMs'!AI40</f>
        <v/>
      </c>
      <c r="I38" s="569" t="str">
        <f>'Input-EWEMs'!AJ40</f>
        <v/>
      </c>
      <c r="J38" s="407" t="str">
        <f t="shared" si="1"/>
        <v>← Hide this row</v>
      </c>
    </row>
    <row r="39" spans="2:10" s="92" customFormat="1" ht="15" hidden="1" x14ac:dyDescent="0.2">
      <c r="B39" s="570">
        <v>30</v>
      </c>
      <c r="C39" s="564" t="str">
        <f>IF('Input-EWEMs'!F41="","", 'Input-EWEMs'!F41)</f>
        <v/>
      </c>
      <c r="D39" s="565" t="str">
        <f>'Input-EWEMs'!M41</f>
        <v/>
      </c>
      <c r="E39" s="566">
        <f>SUM('Input-EWEMs'!N41:O41)</f>
        <v>0</v>
      </c>
      <c r="F39" s="567">
        <f>SUM('Input-EWEMs'!Q41:R41)</f>
        <v>0</v>
      </c>
      <c r="G39" s="568" t="str">
        <f>'Input-EWEMs'!AH41</f>
        <v/>
      </c>
      <c r="H39" s="721" t="str">
        <f>'Input-EWEMs'!AI41</f>
        <v/>
      </c>
      <c r="I39" s="569" t="str">
        <f>'Input-EWEMs'!AJ41</f>
        <v/>
      </c>
      <c r="J39" s="407" t="str">
        <f t="shared" si="1"/>
        <v>← Hide this row</v>
      </c>
    </row>
    <row r="40" spans="2:10" s="92" customFormat="1" ht="15" x14ac:dyDescent="0.2">
      <c r="B40" s="571"/>
      <c r="C40" s="572" t="s">
        <v>395</v>
      </c>
      <c r="D40" s="573">
        <f>SUM(D10:D39)</f>
        <v>3809512</v>
      </c>
      <c r="E40" s="574">
        <f>SUM(E10:E39)</f>
        <v>202074.24260467576</v>
      </c>
      <c r="F40" s="575">
        <f>SUM(F10:F39)</f>
        <v>12805.030243917896</v>
      </c>
      <c r="G40" s="576">
        <f t="shared" ref="G40:I40" si="2">SUM(G10:G39)</f>
        <v>0.82331230242908537</v>
      </c>
      <c r="H40" s="722">
        <f>SUM(H10:H39)</f>
        <v>0.89912453870605302</v>
      </c>
      <c r="I40" s="577">
        <f t="shared" si="2"/>
        <v>0.37714065454492129</v>
      </c>
      <c r="J40" s="225"/>
    </row>
    <row r="41" spans="2:10" ht="16.5" customHeight="1" x14ac:dyDescent="0.2">
      <c r="B41" s="100"/>
      <c r="C41" s="100"/>
      <c r="D41" s="100"/>
      <c r="E41" s="100"/>
      <c r="F41" s="100"/>
      <c r="G41" s="100"/>
      <c r="H41" s="100"/>
      <c r="I41" s="100"/>
    </row>
  </sheetData>
  <sheetProtection algorithmName="SHA-512" hashValue="8ra67io+MpE42UmRK6vLr6q6fal2GgFmaFEPTI/upHK5lJJ++atbBWkbDVU8aMztNMoPiAEcMiOnYXyGlvrUow==" saltValue="cU6LQeDzry1h9MDOmWzEKw==" spinCount="100000" sheet="1" formatRows="0"/>
  <mergeCells count="3">
    <mergeCell ref="B8:B9"/>
    <mergeCell ref="C8:C9"/>
    <mergeCell ref="B4:I4"/>
  </mergeCells>
  <pageMargins left="0.7" right="0.7" top="0.75" bottom="0.75" header="0.3" footer="0.3"/>
  <pageSetup paperSize="5" scale="84" orientation="landscape" r:id="rId1"/>
  <headerFooter>
    <oddFooter>&amp;L&amp;"Source Sans Pro,Regular"&amp;8© 2023 Fannie Mae. Trademarks of Fannie Mae._x000D_&amp;1#&amp;"Calibri"&amp;10&amp;K000000 Fannie Mae Confidential&amp;C&amp;"Source Sans Pro,Regular"&amp;8Form 4099.H - October 2023&amp;R&amp;"Source Sans Pro,Regular"&amp;8Page &amp;P of &amp;N</oddFooter>
  </headerFooter>
  <ignoredErrors>
    <ignoredError sqref="E10:F11" formulaRange="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1">
    <tabColor theme="1" tint="0.34998626667073579"/>
    <pageSetUpPr autoPageBreaks="0"/>
  </sheetPr>
  <dimension ref="A1:O42"/>
  <sheetViews>
    <sheetView showGridLines="0" zoomScale="90" zoomScaleNormal="90" workbookViewId="0"/>
  </sheetViews>
  <sheetFormatPr baseColWidth="10" defaultColWidth="9.33203125" defaultRowHeight="15" x14ac:dyDescent="0.2"/>
  <cols>
    <col min="1" max="1" width="2.33203125" style="92" customWidth="1"/>
    <col min="2" max="2" width="7.6640625" style="92" customWidth="1"/>
    <col min="3" max="3" width="42.6640625" style="92" customWidth="1"/>
    <col min="4" max="5" width="15.6640625" style="92" customWidth="1"/>
    <col min="6" max="6" width="15.6640625" style="92" hidden="1" customWidth="1"/>
    <col min="7" max="7" width="15.6640625" style="92" customWidth="1"/>
    <col min="8" max="10" width="13.6640625" style="92" customWidth="1"/>
    <col min="11" max="12" width="10.6640625" style="92" customWidth="1"/>
    <col min="13" max="13" width="11.33203125" style="225" customWidth="1"/>
    <col min="14" max="16384" width="9.33203125" style="92"/>
  </cols>
  <sheetData>
    <row r="1" spans="1:15" ht="23.25" customHeight="1" x14ac:dyDescent="0.2">
      <c r="B1" s="90" t="s">
        <v>1</v>
      </c>
      <c r="C1" s="91"/>
      <c r="D1" s="91"/>
      <c r="E1" s="91"/>
      <c r="F1" s="91"/>
      <c r="G1" s="91"/>
      <c r="H1" s="91"/>
      <c r="I1" s="91"/>
      <c r="L1" s="91"/>
      <c r="M1" s="92"/>
    </row>
    <row r="2" spans="1:15" ht="15" customHeight="1" x14ac:dyDescent="0.2">
      <c r="A2" s="91"/>
      <c r="C2" s="91"/>
      <c r="D2" s="91"/>
      <c r="E2" s="91"/>
      <c r="F2" s="91"/>
      <c r="G2" s="91"/>
      <c r="H2" s="91"/>
      <c r="I2" s="91"/>
      <c r="J2" s="91"/>
      <c r="K2" s="91"/>
    </row>
    <row r="3" spans="1:15" ht="25" x14ac:dyDescent="0.3">
      <c r="B3" s="107" t="s">
        <v>629</v>
      </c>
      <c r="F3" s="91"/>
    </row>
    <row r="4" spans="1:15" ht="30" customHeight="1" x14ac:dyDescent="0.2">
      <c r="B4" s="1028" t="s">
        <v>630</v>
      </c>
      <c r="C4" s="1028"/>
      <c r="D4" s="1028"/>
      <c r="E4" s="1028"/>
      <c r="F4" s="1028"/>
      <c r="G4" s="1028"/>
      <c r="H4" s="1028"/>
      <c r="I4" s="1028"/>
      <c r="J4" s="1028"/>
      <c r="K4" s="752"/>
      <c r="L4" s="752"/>
      <c r="M4" s="750"/>
      <c r="N4" s="752"/>
      <c r="O4" s="752"/>
    </row>
    <row r="5" spans="1:15" s="109" customFormat="1" ht="11" x14ac:dyDescent="0.15"/>
    <row r="6" spans="1:15" ht="18" x14ac:dyDescent="0.25">
      <c r="B6" s="147" t="s">
        <v>631</v>
      </c>
    </row>
    <row r="7" spans="1:15" ht="9.75" customHeight="1" x14ac:dyDescent="0.25">
      <c r="B7" s="147"/>
    </row>
    <row r="8" spans="1:15" x14ac:dyDescent="0.2">
      <c r="D8" s="1025" t="s">
        <v>632</v>
      </c>
      <c r="E8" s="1026"/>
      <c r="F8" s="1026"/>
      <c r="G8" s="1026"/>
      <c r="H8" s="1026"/>
      <c r="I8" s="1026"/>
      <c r="J8" s="1027"/>
      <c r="K8" s="225"/>
      <c r="M8" s="92"/>
    </row>
    <row r="9" spans="1:15" ht="34.5" customHeight="1" x14ac:dyDescent="0.2">
      <c r="B9" s="809" t="s">
        <v>68</v>
      </c>
      <c r="C9" s="806" t="s">
        <v>628</v>
      </c>
      <c r="D9" s="513" t="s">
        <v>381</v>
      </c>
      <c r="E9" s="436" t="str">
        <f>IF(OR('Input-Utilities'!C11="n/a",'Input-Utilities'!C11=""), "n/a", "Annual "&amp;'Input-Utilities'!C11&amp;" Savings")</f>
        <v>Annual Natural Gas Savings</v>
      </c>
      <c r="F9" s="436" t="str">
        <f>IF(OR('Input-Utilities'!C12="n/a",'Input-Utilities'!C12=""), "n/a", "Annual "&amp;'Input-Utilities'!C12&amp;" Savings")</f>
        <v>n/a</v>
      </c>
      <c r="G9" s="514" t="s">
        <v>382</v>
      </c>
      <c r="H9" s="513" t="s">
        <v>50</v>
      </c>
      <c r="I9" s="760" t="s">
        <v>78</v>
      </c>
      <c r="J9" s="514" t="s">
        <v>51</v>
      </c>
      <c r="K9" s="225"/>
      <c r="M9" s="92"/>
    </row>
    <row r="10" spans="1:15" x14ac:dyDescent="0.2">
      <c r="B10" s="810"/>
      <c r="C10" s="807"/>
      <c r="D10" s="562" t="s">
        <v>277</v>
      </c>
      <c r="E10" s="560" t="str">
        <f>IF(E9="n/a", "", 'Input-EWEMs'!U11)</f>
        <v>therms gas</v>
      </c>
      <c r="F10" s="560" t="str">
        <f>IF(F9="n/a", "", 'Input-EWEMs'!V11)</f>
        <v/>
      </c>
      <c r="G10" s="560" t="str">
        <f>'Input-EWEMs'!W11</f>
        <v>Gal</v>
      </c>
      <c r="H10" s="562" t="s">
        <v>393</v>
      </c>
      <c r="I10" s="720" t="s">
        <v>393</v>
      </c>
      <c r="J10" s="561" t="s">
        <v>393</v>
      </c>
      <c r="K10" s="225"/>
      <c r="M10" s="92"/>
    </row>
    <row r="11" spans="1:15" ht="36" x14ac:dyDescent="0.2">
      <c r="B11" s="578">
        <v>1</v>
      </c>
      <c r="C11" s="579" t="str">
        <f>IF('Input-EWEMs'!F12="","", 'Input-EWEMs'!F12)</f>
        <v>Install 129 ENERGY STAR-certified smart thermostats in apartments. Install one thermostat in the living room of each apartment unit.</v>
      </c>
      <c r="D11" s="580">
        <f>'Input-EWEMs'!T12</f>
        <v>70097</v>
      </c>
      <c r="E11" s="581">
        <f>'Input-EWEMs'!U12</f>
        <v>198</v>
      </c>
      <c r="F11" s="581">
        <f>'Input-EWEMs'!V12</f>
        <v>0</v>
      </c>
      <c r="G11" s="582">
        <f>'Input-EWEMs'!W12</f>
        <v>0</v>
      </c>
      <c r="H11" s="568">
        <f>'Input-EWEMs'!AH12</f>
        <v>3.0528780967432192E-2</v>
      </c>
      <c r="I11" s="721">
        <f>'Input-EWEMs'!AI12</f>
        <v>3.3810926766221383E-2</v>
      </c>
      <c r="J11" s="569">
        <f>'Input-EWEMs'!AJ12</f>
        <v>0</v>
      </c>
      <c r="K11" s="407" t="str">
        <f t="shared" ref="K11:K29" si="0">IF(C11="", "← Hide this row", "")</f>
        <v/>
      </c>
      <c r="M11" s="92"/>
    </row>
    <row r="12" spans="1:15" ht="36" x14ac:dyDescent="0.2">
      <c r="B12" s="583">
        <v>2</v>
      </c>
      <c r="C12" s="584" t="str">
        <f>IF('Input-EWEMs'!F13="","", 'Input-EWEMs'!F13)</f>
        <v>Install high efficiency heat pumps (10 HSPF, 16 SEER) in apartments to replace existing furnaces and AC units. Equipment must be ENERGY STAR-certified.</v>
      </c>
      <c r="D12" s="580">
        <f>'Input-EWEMs'!T13</f>
        <v>82590</v>
      </c>
      <c r="E12" s="585">
        <f>'Input-EWEMs'!U13</f>
        <v>2187</v>
      </c>
      <c r="F12" s="585">
        <f>'Input-EWEMs'!V13</f>
        <v>0</v>
      </c>
      <c r="G12" s="586">
        <f>'Input-EWEMs'!W13</f>
        <v>0</v>
      </c>
      <c r="H12" s="568">
        <f>'Input-EWEMs'!AH13</f>
        <v>5.9001076777701562E-2</v>
      </c>
      <c r="I12" s="721">
        <f>'Input-EWEMs'!AI13</f>
        <v>5.2732602544724366E-2</v>
      </c>
      <c r="J12" s="569">
        <f>'Input-EWEMs'!AJ13</f>
        <v>0</v>
      </c>
      <c r="K12" s="407" t="str">
        <f t="shared" si="0"/>
        <v/>
      </c>
      <c r="M12" s="92"/>
    </row>
    <row r="13" spans="1:15" ht="36" x14ac:dyDescent="0.2">
      <c r="B13" s="583">
        <v>3</v>
      </c>
      <c r="C13" s="584" t="str">
        <f>IF('Input-EWEMs'!F14="","", 'Input-EWEMs'!F14)</f>
        <v>Insulate all exposed hot water piping located in the basement mechanical rooms, using foam insulation with an R-value of 3 or above.</v>
      </c>
      <c r="D13" s="580">
        <f>'Input-EWEMs'!T14</f>
        <v>0</v>
      </c>
      <c r="E13" s="585">
        <f>'Input-EWEMs'!U14</f>
        <v>1027</v>
      </c>
      <c r="F13" s="585">
        <f>'Input-EWEMs'!V14</f>
        <v>0</v>
      </c>
      <c r="G13" s="586">
        <f>'Input-EWEMs'!W14</f>
        <v>0</v>
      </c>
      <c r="H13" s="568">
        <f>'Input-EWEMs'!AH14</f>
        <v>1.2106785088676143E-2</v>
      </c>
      <c r="I13" s="721">
        <f>'Input-EWEMs'!AI14</f>
        <v>6.7788546252436164E-3</v>
      </c>
      <c r="J13" s="569">
        <f>'Input-EWEMs'!AJ14</f>
        <v>0</v>
      </c>
      <c r="K13" s="407" t="str">
        <f t="shared" si="0"/>
        <v/>
      </c>
      <c r="M13" s="92"/>
    </row>
    <row r="14" spans="1:15" ht="24" x14ac:dyDescent="0.2">
      <c r="B14" s="583">
        <v>4</v>
      </c>
      <c r="C14" s="584" t="str">
        <f>IF('Input-EWEMs'!F15="","", 'Input-EWEMs'!F15)</f>
        <v xml:space="preserve">Upgrade non-LED lighting in all apartments to LED. Refer to HPB report for replacement lighting specifications. </v>
      </c>
      <c r="D14" s="580">
        <f>'Input-EWEMs'!T15</f>
        <v>109580</v>
      </c>
      <c r="E14" s="585">
        <f>'Input-EWEMs'!U15</f>
        <v>0</v>
      </c>
      <c r="F14" s="585">
        <f>'Input-EWEMs'!V15</f>
        <v>0</v>
      </c>
      <c r="G14" s="586">
        <f>'Input-EWEMs'!W15</f>
        <v>0</v>
      </c>
      <c r="H14" s="568">
        <f>'Input-EWEMs'!AH15</f>
        <v>4.4075648219848627E-2</v>
      </c>
      <c r="I14" s="721">
        <f>'Input-EWEMs'!AI15</f>
        <v>5.0812279857204365E-2</v>
      </c>
      <c r="J14" s="569">
        <f>'Input-EWEMs'!AJ15</f>
        <v>0</v>
      </c>
      <c r="K14" s="407" t="str">
        <f t="shared" si="0"/>
        <v/>
      </c>
      <c r="M14" s="92"/>
    </row>
    <row r="15" spans="1:15" ht="36" x14ac:dyDescent="0.2">
      <c r="B15" s="583">
        <v>5</v>
      </c>
      <c r="C15" s="584" t="str">
        <f>IF('Input-EWEMs'!F16="","", 'Input-EWEMs'!F16)</f>
        <v xml:space="preserve">Upgrade all lighting in building common areas and exterior to LED. Refer to HPB report for replacement lighting specifications. </v>
      </c>
      <c r="D15" s="580">
        <f>'Input-EWEMs'!T16</f>
        <v>52186</v>
      </c>
      <c r="E15" s="585">
        <f>'Input-EWEMs'!U16</f>
        <v>0</v>
      </c>
      <c r="F15" s="585">
        <f>'Input-EWEMs'!V16</f>
        <v>0</v>
      </c>
      <c r="G15" s="586">
        <f>'Input-EWEMs'!W16</f>
        <v>0</v>
      </c>
      <c r="H15" s="568">
        <f>'Input-EWEMs'!AH16</f>
        <v>2.0990434185079579E-2</v>
      </c>
      <c r="I15" s="721">
        <f>'Input-EWEMs'!AI16</f>
        <v>2.4198664324037847E-2</v>
      </c>
      <c r="J15" s="569">
        <f>'Input-EWEMs'!AJ16</f>
        <v>0</v>
      </c>
      <c r="K15" s="407" t="str">
        <f t="shared" si="0"/>
        <v/>
      </c>
      <c r="M15" s="92"/>
    </row>
    <row r="16" spans="1:15" ht="24" x14ac:dyDescent="0.2">
      <c r="B16" s="583">
        <v>6</v>
      </c>
      <c r="C16" s="584" t="str">
        <f>IF('Input-EWEMs'!F17="","", 'Input-EWEMs'!F17)</f>
        <v>Add occupancy sensor controls to the offices, club room, and bathrooms, in the rental office building and all laundry rooms.</v>
      </c>
      <c r="D16" s="580">
        <f>'Input-EWEMs'!T17</f>
        <v>3603</v>
      </c>
      <c r="E16" s="585">
        <f>'Input-EWEMs'!U17</f>
        <v>0</v>
      </c>
      <c r="F16" s="585">
        <f>'Input-EWEMs'!V17</f>
        <v>0</v>
      </c>
      <c r="G16" s="586">
        <f>'Input-EWEMs'!W17</f>
        <v>0</v>
      </c>
      <c r="H16" s="568">
        <f>'Input-EWEMs'!AH17</f>
        <v>1.4492111748139677E-3</v>
      </c>
      <c r="I16" s="721">
        <f>'Input-EWEMs'!AI17</f>
        <v>1.6707122132278459E-3</v>
      </c>
      <c r="J16" s="569">
        <f>'Input-EWEMs'!AJ17</f>
        <v>0</v>
      </c>
      <c r="K16" s="407" t="str">
        <f t="shared" si="0"/>
        <v/>
      </c>
      <c r="M16" s="92"/>
    </row>
    <row r="17" spans="2:13" ht="24" x14ac:dyDescent="0.2">
      <c r="B17" s="583">
        <v>7</v>
      </c>
      <c r="C17" s="584" t="str">
        <f>IF('Input-EWEMs'!F18="","", 'Input-EWEMs'!F18)</f>
        <v>Replace all 129 apartment refrigerators with ENERGY STAR-certified models.</v>
      </c>
      <c r="D17" s="580">
        <f>'Input-EWEMs'!T18</f>
        <v>19708</v>
      </c>
      <c r="E17" s="585">
        <f>'Input-EWEMs'!U18</f>
        <v>0</v>
      </c>
      <c r="F17" s="585">
        <f>'Input-EWEMs'!V18</f>
        <v>0</v>
      </c>
      <c r="G17" s="586">
        <f>'Input-EWEMs'!W18</f>
        <v>0</v>
      </c>
      <c r="H17" s="568">
        <f>'Input-EWEMs'!AH18</f>
        <v>7.9270202146082911E-3</v>
      </c>
      <c r="I17" s="721">
        <f>'Input-EWEMs'!AI18</f>
        <v>9.1386056892296379E-3</v>
      </c>
      <c r="J17" s="569">
        <f>'Input-EWEMs'!AJ18</f>
        <v>0</v>
      </c>
      <c r="K17" s="407" t="str">
        <f t="shared" si="0"/>
        <v/>
      </c>
      <c r="M17" s="92"/>
    </row>
    <row r="18" spans="2:13" ht="24" x14ac:dyDescent="0.2">
      <c r="B18" s="583">
        <v>8</v>
      </c>
      <c r="C18" s="584" t="str">
        <f>IF('Input-EWEMs'!F19="","", 'Input-EWEMs'!F19)</f>
        <v>Replace all 129 apartment dishwashers with ENERGY STAR-certified models.</v>
      </c>
      <c r="D18" s="580">
        <f>'Input-EWEMs'!T19</f>
        <v>3870</v>
      </c>
      <c r="E18" s="585">
        <f>'Input-EWEMs'!U19</f>
        <v>0</v>
      </c>
      <c r="F18" s="585">
        <f>'Input-EWEMs'!V19</f>
        <v>0</v>
      </c>
      <c r="G18" s="586">
        <f>'Input-EWEMs'!W19</f>
        <v>80000</v>
      </c>
      <c r="H18" s="568">
        <f>'Input-EWEMs'!AH19</f>
        <v>1.5566048422231628E-3</v>
      </c>
      <c r="I18" s="721">
        <f>'Input-EWEMs'!AI19</f>
        <v>1.7945201957234981E-3</v>
      </c>
      <c r="J18" s="569">
        <f>'Input-EWEMs'!AJ19</f>
        <v>1.047431083617209E-2</v>
      </c>
      <c r="K18" s="407" t="str">
        <f t="shared" si="0"/>
        <v/>
      </c>
      <c r="M18" s="92"/>
    </row>
    <row r="19" spans="2:13" ht="24" x14ac:dyDescent="0.2">
      <c r="B19" s="583">
        <v>9</v>
      </c>
      <c r="C19" s="584" t="str">
        <f>IF('Input-EWEMs'!F20="","", 'Input-EWEMs'!F20)</f>
        <v>Install 235 low-flow 1.0 GPM WaterSense-certified bathroom faucet aerators.</v>
      </c>
      <c r="D19" s="580">
        <f>'Input-EWEMs'!T20</f>
        <v>0</v>
      </c>
      <c r="E19" s="585">
        <f>'Input-EWEMs'!U20</f>
        <v>766</v>
      </c>
      <c r="F19" s="585">
        <f>'Input-EWEMs'!V20</f>
        <v>0</v>
      </c>
      <c r="G19" s="586">
        <f>'Input-EWEMs'!W20</f>
        <v>250000</v>
      </c>
      <c r="H19" s="568">
        <f>'Input-EWEMs'!AH20</f>
        <v>9.0299877097623424E-3</v>
      </c>
      <c r="I19" s="721">
        <f>'Input-EWEMs'!AI20</f>
        <v>5.0560882599188029E-3</v>
      </c>
      <c r="J19" s="569">
        <f>'Input-EWEMs'!AJ20</f>
        <v>3.2732221363037779E-2</v>
      </c>
      <c r="K19" s="407" t="str">
        <f t="shared" si="0"/>
        <v/>
      </c>
      <c r="M19" s="92"/>
    </row>
    <row r="20" spans="2:13" x14ac:dyDescent="0.2">
      <c r="B20" s="583">
        <v>10</v>
      </c>
      <c r="C20" s="584" t="str">
        <f>IF('Input-EWEMs'!F21="","", 'Input-EWEMs'!F21)</f>
        <v>Install 129 low-flow 1.5 GPM kitchen faucet aerators.</v>
      </c>
      <c r="D20" s="580">
        <f>'Input-EWEMs'!T21</f>
        <v>0</v>
      </c>
      <c r="E20" s="585">
        <f>'Input-EWEMs'!U21</f>
        <v>921</v>
      </c>
      <c r="F20" s="585">
        <f>'Input-EWEMs'!V21</f>
        <v>0</v>
      </c>
      <c r="G20" s="586">
        <f>'Input-EWEMs'!W21</f>
        <v>430000</v>
      </c>
      <c r="H20" s="568">
        <f>'Input-EWEMs'!AH21</f>
        <v>1.0857204543983182E-2</v>
      </c>
      <c r="I20" s="721">
        <f>'Input-EWEMs'!AI21</f>
        <v>6.0791870592496302E-3</v>
      </c>
      <c r="J20" s="569">
        <f>'Input-EWEMs'!AJ21</f>
        <v>5.6299420744424983E-2</v>
      </c>
      <c r="K20" s="407" t="str">
        <f t="shared" si="0"/>
        <v/>
      </c>
      <c r="M20" s="92"/>
    </row>
    <row r="21" spans="2:13" x14ac:dyDescent="0.2">
      <c r="B21" s="583">
        <v>11</v>
      </c>
      <c r="C21" s="584" t="str">
        <f>IF('Input-EWEMs'!F22="","", 'Input-EWEMs'!F22)</f>
        <v>Install 181 low-flow 1.5 GPM WaterSense-certified showerheads.</v>
      </c>
      <c r="D21" s="580">
        <f>'Input-EWEMs'!T22</f>
        <v>0</v>
      </c>
      <c r="E21" s="585">
        <f>'Input-EWEMs'!U22</f>
        <v>2058</v>
      </c>
      <c r="F21" s="585">
        <f>'Input-EWEMs'!V22</f>
        <v>0</v>
      </c>
      <c r="G21" s="586">
        <f>'Input-EWEMs'!W22</f>
        <v>720500</v>
      </c>
      <c r="H21" s="568">
        <f>'Input-EWEMs'!AH22</f>
        <v>2.4260724160170888E-2</v>
      </c>
      <c r="I21" s="721">
        <f>'Input-EWEMs'!AI22</f>
        <v>1.3584111800147382E-2</v>
      </c>
      <c r="J21" s="569">
        <f>'Input-EWEMs'!AJ22</f>
        <v>9.433426196827488E-2</v>
      </c>
      <c r="K21" s="407" t="str">
        <f t="shared" si="0"/>
        <v/>
      </c>
      <c r="M21" s="92"/>
    </row>
    <row r="22" spans="2:13" x14ac:dyDescent="0.2">
      <c r="B22" s="583">
        <v>12</v>
      </c>
      <c r="C22" s="584" t="str">
        <f>IF('Input-EWEMs'!F23="","", 'Input-EWEMs'!F23)</f>
        <v>Install 235 0.8 GPF WaterSense-certified toilets.</v>
      </c>
      <c r="D22" s="580">
        <f>'Input-EWEMs'!T23</f>
        <v>0</v>
      </c>
      <c r="E22" s="585">
        <f>'Input-EWEMs'!U23</f>
        <v>0</v>
      </c>
      <c r="F22" s="585">
        <f>'Input-EWEMs'!V23</f>
        <v>0</v>
      </c>
      <c r="G22" s="586">
        <f>'Input-EWEMs'!W23</f>
        <v>1400000</v>
      </c>
      <c r="H22" s="568">
        <f>'Input-EWEMs'!AH23</f>
        <v>0</v>
      </c>
      <c r="I22" s="721">
        <f>'Input-EWEMs'!AI23</f>
        <v>0</v>
      </c>
      <c r="J22" s="569">
        <f>'Input-EWEMs'!AJ23</f>
        <v>0.18330043963301157</v>
      </c>
      <c r="K22" s="407" t="str">
        <f t="shared" si="0"/>
        <v/>
      </c>
      <c r="M22" s="92"/>
    </row>
    <row r="23" spans="2:13" ht="24" x14ac:dyDescent="0.2">
      <c r="B23" s="583">
        <v>13</v>
      </c>
      <c r="C23" s="584" t="str">
        <f>IF('Input-EWEMs'!F24="","", 'Input-EWEMs'!F24)</f>
        <v>Upgrade existing 5-HP continuous-speed pool pump to VSD-controlled pool pump.</v>
      </c>
      <c r="D23" s="580">
        <f>'Input-EWEMs'!T24</f>
        <v>2179</v>
      </c>
      <c r="E23" s="585">
        <f>'Input-EWEMs'!U24</f>
        <v>0</v>
      </c>
      <c r="F23" s="585">
        <f>'Input-EWEMs'!V24</f>
        <v>0</v>
      </c>
      <c r="G23" s="586">
        <f>'Input-EWEMs'!W24</f>
        <v>0</v>
      </c>
      <c r="H23" s="568">
        <f>'Input-EWEMs'!AH24</f>
        <v>8.764449486315946E-4</v>
      </c>
      <c r="I23" s="721">
        <f>'Input-EWEMs'!AI24</f>
        <v>1.0104029732510343E-3</v>
      </c>
      <c r="J23" s="569">
        <f>'Input-EWEMs'!AJ24</f>
        <v>0</v>
      </c>
      <c r="K23" s="407" t="str">
        <f t="shared" si="0"/>
        <v/>
      </c>
      <c r="M23" s="92"/>
    </row>
    <row r="24" spans="2:13" ht="48" x14ac:dyDescent="0.2">
      <c r="B24" s="583">
        <v>14</v>
      </c>
      <c r="C24" s="584" t="str">
        <f>IF('Input-EWEMs'!F25="","", 'Input-EWEMs'!F25)</f>
        <v>Install grid-tied 850.8 kW Solar PV system comprised of 520.8 kW roof-mounted (non-ballasted) and 330 kW canopy-mounted arrays. Selective tree trimming and roof replacement must be included.</v>
      </c>
      <c r="D24" s="580">
        <f>'Input-EWEMs'!T25</f>
        <v>1493330</v>
      </c>
      <c r="E24" s="585">
        <f>'Input-EWEMs'!U25</f>
        <v>0</v>
      </c>
      <c r="F24" s="585">
        <f>'Input-EWEMs'!V25</f>
        <v>0</v>
      </c>
      <c r="G24" s="586">
        <f>'Input-EWEMs'!W25</f>
        <v>0</v>
      </c>
      <c r="H24" s="568">
        <f>'Input-EWEMs'!AH25</f>
        <v>0.60065237959615392</v>
      </c>
      <c r="I24" s="721">
        <f>'Input-EWEMs'!AI25</f>
        <v>0.69245758239787369</v>
      </c>
      <c r="J24" s="569">
        <f>'Input-EWEMs'!AJ25</f>
        <v>0</v>
      </c>
      <c r="K24" s="407" t="str">
        <f t="shared" si="0"/>
        <v/>
      </c>
      <c r="M24" s="92"/>
    </row>
    <row r="25" spans="2:13" ht="36" x14ac:dyDescent="0.2">
      <c r="B25" s="583">
        <v>15</v>
      </c>
      <c r="C25" s="584" t="str">
        <f>IF('Input-EWEMs'!F26="","", 'Input-EWEMs'!F26)</f>
        <v>Install foam roof overlap on top of existing roof for building A,B,E,F,G,H,I and leasing office. Must be included if EWEM "install photovoltaic system" is selected.</v>
      </c>
      <c r="D25" s="580">
        <f>'Input-EWEMs'!T26</f>
        <v>0</v>
      </c>
      <c r="E25" s="585">
        <f>'Input-EWEMs'!U26</f>
        <v>0</v>
      </c>
      <c r="F25" s="585">
        <f>'Input-EWEMs'!V26</f>
        <v>0</v>
      </c>
      <c r="G25" s="586">
        <f>'Input-EWEMs'!W26</f>
        <v>0</v>
      </c>
      <c r="H25" s="568">
        <f>'Input-EWEMs'!AH26</f>
        <v>0</v>
      </c>
      <c r="I25" s="721">
        <f>'Input-EWEMs'!AI26</f>
        <v>0</v>
      </c>
      <c r="J25" s="569">
        <f>'Input-EWEMs'!AJ26</f>
        <v>0</v>
      </c>
      <c r="K25" s="407" t="str">
        <f t="shared" si="0"/>
        <v/>
      </c>
      <c r="M25" s="92"/>
    </row>
    <row r="26" spans="2:13" hidden="1" x14ac:dyDescent="0.2">
      <c r="B26" s="583">
        <v>16</v>
      </c>
      <c r="C26" s="584" t="str">
        <f>IF('Input-EWEMs'!F27="","", 'Input-EWEMs'!F27)</f>
        <v/>
      </c>
      <c r="D26" s="580">
        <f>'Input-EWEMs'!T27</f>
        <v>0</v>
      </c>
      <c r="E26" s="585">
        <f>'Input-EWEMs'!U27</f>
        <v>0</v>
      </c>
      <c r="F26" s="585">
        <f>'Input-EWEMs'!V27</f>
        <v>0</v>
      </c>
      <c r="G26" s="586">
        <f>'Input-EWEMs'!W27</f>
        <v>0</v>
      </c>
      <c r="H26" s="568" t="str">
        <f>'Input-EWEMs'!AH27</f>
        <v/>
      </c>
      <c r="I26" s="721" t="str">
        <f>'Input-EWEMs'!AI27</f>
        <v/>
      </c>
      <c r="J26" s="569" t="str">
        <f>'Input-EWEMs'!AJ27</f>
        <v/>
      </c>
      <c r="K26" s="407" t="str">
        <f t="shared" si="0"/>
        <v>← Hide this row</v>
      </c>
      <c r="M26" s="92"/>
    </row>
    <row r="27" spans="2:13" hidden="1" x14ac:dyDescent="0.2">
      <c r="B27" s="583">
        <v>17</v>
      </c>
      <c r="C27" s="584" t="str">
        <f>IF('Input-EWEMs'!F28="","", 'Input-EWEMs'!F28)</f>
        <v/>
      </c>
      <c r="D27" s="580">
        <f>'Input-EWEMs'!T28</f>
        <v>0</v>
      </c>
      <c r="E27" s="585">
        <f>'Input-EWEMs'!U28</f>
        <v>0</v>
      </c>
      <c r="F27" s="585">
        <f>'Input-EWEMs'!V28</f>
        <v>0</v>
      </c>
      <c r="G27" s="586">
        <f>'Input-EWEMs'!W28</f>
        <v>0</v>
      </c>
      <c r="H27" s="568" t="str">
        <f>'Input-EWEMs'!AH28</f>
        <v/>
      </c>
      <c r="I27" s="721" t="str">
        <f>'Input-EWEMs'!AI28</f>
        <v/>
      </c>
      <c r="J27" s="569" t="str">
        <f>'Input-EWEMs'!AJ28</f>
        <v/>
      </c>
      <c r="K27" s="407" t="str">
        <f t="shared" si="0"/>
        <v>← Hide this row</v>
      </c>
      <c r="M27" s="92"/>
    </row>
    <row r="28" spans="2:13" hidden="1" x14ac:dyDescent="0.2">
      <c r="B28" s="583">
        <v>18</v>
      </c>
      <c r="C28" s="584" t="str">
        <f>IF('Input-EWEMs'!F29="","", 'Input-EWEMs'!F29)</f>
        <v/>
      </c>
      <c r="D28" s="580">
        <f>'Input-EWEMs'!T29</f>
        <v>0</v>
      </c>
      <c r="E28" s="585">
        <f>'Input-EWEMs'!U29</f>
        <v>0</v>
      </c>
      <c r="F28" s="585">
        <f>'Input-EWEMs'!V29</f>
        <v>0</v>
      </c>
      <c r="G28" s="586">
        <f>'Input-EWEMs'!W29</f>
        <v>0</v>
      </c>
      <c r="H28" s="568" t="str">
        <f>'Input-EWEMs'!AH29</f>
        <v/>
      </c>
      <c r="I28" s="721" t="str">
        <f>'Input-EWEMs'!AI29</f>
        <v/>
      </c>
      <c r="J28" s="569" t="str">
        <f>'Input-EWEMs'!AJ29</f>
        <v/>
      </c>
      <c r="K28" s="407" t="str">
        <f t="shared" si="0"/>
        <v>← Hide this row</v>
      </c>
      <c r="M28" s="92"/>
    </row>
    <row r="29" spans="2:13" hidden="1" x14ac:dyDescent="0.2">
      <c r="B29" s="583">
        <v>19</v>
      </c>
      <c r="C29" s="584" t="str">
        <f>IF('Input-EWEMs'!F30="","", 'Input-EWEMs'!F30)</f>
        <v/>
      </c>
      <c r="D29" s="580">
        <f>'Input-EWEMs'!T30</f>
        <v>0</v>
      </c>
      <c r="E29" s="585">
        <f>'Input-EWEMs'!U30</f>
        <v>0</v>
      </c>
      <c r="F29" s="585">
        <f>'Input-EWEMs'!V30</f>
        <v>0</v>
      </c>
      <c r="G29" s="586">
        <f>'Input-EWEMs'!W30</f>
        <v>0</v>
      </c>
      <c r="H29" s="568" t="str">
        <f>'Input-EWEMs'!AH30</f>
        <v/>
      </c>
      <c r="I29" s="721" t="str">
        <f>'Input-EWEMs'!AI30</f>
        <v/>
      </c>
      <c r="J29" s="569" t="str">
        <f>'Input-EWEMs'!AJ30</f>
        <v/>
      </c>
      <c r="K29" s="407" t="str">
        <f t="shared" si="0"/>
        <v>← Hide this row</v>
      </c>
      <c r="M29" s="92"/>
    </row>
    <row r="30" spans="2:13" hidden="1" x14ac:dyDescent="0.2">
      <c r="B30" s="583">
        <v>20</v>
      </c>
      <c r="C30" s="584" t="str">
        <f>IF('Input-EWEMs'!F31="","", 'Input-EWEMs'!F31)</f>
        <v/>
      </c>
      <c r="D30" s="580">
        <f>'Input-EWEMs'!T31</f>
        <v>0</v>
      </c>
      <c r="E30" s="585">
        <f>'Input-EWEMs'!U31</f>
        <v>0</v>
      </c>
      <c r="F30" s="585">
        <f>'Input-EWEMs'!V31</f>
        <v>0</v>
      </c>
      <c r="G30" s="586">
        <f>'Input-EWEMs'!W31</f>
        <v>0</v>
      </c>
      <c r="H30" s="568" t="str">
        <f>'Input-EWEMs'!AH31</f>
        <v/>
      </c>
      <c r="I30" s="721" t="str">
        <f>'Input-EWEMs'!AI31</f>
        <v/>
      </c>
      <c r="J30" s="569" t="str">
        <f>'Input-EWEMs'!AJ31</f>
        <v/>
      </c>
      <c r="K30" s="407" t="str">
        <f t="shared" ref="K30:K40" si="1">IF(C30="", "← Hide this row", "")</f>
        <v>← Hide this row</v>
      </c>
      <c r="M30" s="92"/>
    </row>
    <row r="31" spans="2:13" hidden="1" x14ac:dyDescent="0.2">
      <c r="B31" s="583">
        <v>21</v>
      </c>
      <c r="C31" s="584" t="str">
        <f>IF('Input-EWEMs'!F32="","", 'Input-EWEMs'!F32)</f>
        <v/>
      </c>
      <c r="D31" s="580">
        <f>'Input-EWEMs'!T32</f>
        <v>0</v>
      </c>
      <c r="E31" s="585">
        <f>'Input-EWEMs'!U32</f>
        <v>0</v>
      </c>
      <c r="F31" s="585">
        <f>'Input-EWEMs'!V32</f>
        <v>0</v>
      </c>
      <c r="G31" s="586">
        <f>'Input-EWEMs'!W32</f>
        <v>0</v>
      </c>
      <c r="H31" s="568" t="str">
        <f>'Input-EWEMs'!AH32</f>
        <v/>
      </c>
      <c r="I31" s="721" t="str">
        <f>'Input-EWEMs'!AI32</f>
        <v/>
      </c>
      <c r="J31" s="569" t="str">
        <f>'Input-EWEMs'!AJ32</f>
        <v/>
      </c>
      <c r="K31" s="407" t="str">
        <f t="shared" si="1"/>
        <v>← Hide this row</v>
      </c>
      <c r="M31" s="92"/>
    </row>
    <row r="32" spans="2:13" hidden="1" x14ac:dyDescent="0.2">
      <c r="B32" s="583">
        <v>22</v>
      </c>
      <c r="C32" s="584" t="str">
        <f>IF('Input-EWEMs'!F33="","", 'Input-EWEMs'!F33)</f>
        <v/>
      </c>
      <c r="D32" s="580">
        <f>'Input-EWEMs'!T33</f>
        <v>0</v>
      </c>
      <c r="E32" s="585">
        <f>'Input-EWEMs'!U33</f>
        <v>0</v>
      </c>
      <c r="F32" s="585">
        <f>'Input-EWEMs'!V33</f>
        <v>0</v>
      </c>
      <c r="G32" s="586">
        <f>'Input-EWEMs'!W33</f>
        <v>0</v>
      </c>
      <c r="H32" s="568" t="str">
        <f>'Input-EWEMs'!AH33</f>
        <v/>
      </c>
      <c r="I32" s="721" t="str">
        <f>'Input-EWEMs'!AI33</f>
        <v/>
      </c>
      <c r="J32" s="569" t="str">
        <f>'Input-EWEMs'!AJ33</f>
        <v/>
      </c>
      <c r="K32" s="407" t="str">
        <f t="shared" si="1"/>
        <v>← Hide this row</v>
      </c>
      <c r="M32" s="92"/>
    </row>
    <row r="33" spans="2:13" hidden="1" x14ac:dyDescent="0.2">
      <c r="B33" s="583">
        <v>23</v>
      </c>
      <c r="C33" s="584" t="str">
        <f>IF('Input-EWEMs'!F34="","", 'Input-EWEMs'!F34)</f>
        <v/>
      </c>
      <c r="D33" s="580">
        <f>'Input-EWEMs'!T34</f>
        <v>0</v>
      </c>
      <c r="E33" s="585">
        <f>'Input-EWEMs'!U34</f>
        <v>0</v>
      </c>
      <c r="F33" s="585">
        <f>'Input-EWEMs'!V34</f>
        <v>0</v>
      </c>
      <c r="G33" s="586">
        <f>'Input-EWEMs'!W34</f>
        <v>0</v>
      </c>
      <c r="H33" s="568" t="str">
        <f>'Input-EWEMs'!AH34</f>
        <v/>
      </c>
      <c r="I33" s="721" t="str">
        <f>'Input-EWEMs'!AI34</f>
        <v/>
      </c>
      <c r="J33" s="569" t="str">
        <f>'Input-EWEMs'!AJ34</f>
        <v/>
      </c>
      <c r="K33" s="407" t="str">
        <f t="shared" si="1"/>
        <v>← Hide this row</v>
      </c>
      <c r="M33" s="92"/>
    </row>
    <row r="34" spans="2:13" hidden="1" x14ac:dyDescent="0.2">
      <c r="B34" s="583">
        <v>24</v>
      </c>
      <c r="C34" s="584" t="str">
        <f>IF('Input-EWEMs'!F35="","", 'Input-EWEMs'!F35)</f>
        <v/>
      </c>
      <c r="D34" s="580">
        <f>'Input-EWEMs'!T35</f>
        <v>0</v>
      </c>
      <c r="E34" s="585">
        <f>'Input-EWEMs'!U35</f>
        <v>0</v>
      </c>
      <c r="F34" s="585">
        <f>'Input-EWEMs'!V35</f>
        <v>0</v>
      </c>
      <c r="G34" s="586">
        <f>'Input-EWEMs'!W35</f>
        <v>0</v>
      </c>
      <c r="H34" s="568" t="str">
        <f>'Input-EWEMs'!AH35</f>
        <v/>
      </c>
      <c r="I34" s="721" t="str">
        <f>'Input-EWEMs'!AI35</f>
        <v/>
      </c>
      <c r="J34" s="569" t="str">
        <f>'Input-EWEMs'!AJ35</f>
        <v/>
      </c>
      <c r="K34" s="407" t="str">
        <f t="shared" si="1"/>
        <v>← Hide this row</v>
      </c>
      <c r="M34" s="92"/>
    </row>
    <row r="35" spans="2:13" hidden="1" x14ac:dyDescent="0.2">
      <c r="B35" s="583">
        <v>25</v>
      </c>
      <c r="C35" s="584" t="str">
        <f>IF('Input-EWEMs'!F36="","", 'Input-EWEMs'!F36)</f>
        <v/>
      </c>
      <c r="D35" s="580">
        <f>'Input-EWEMs'!T36</f>
        <v>0</v>
      </c>
      <c r="E35" s="585">
        <f>'Input-EWEMs'!U36</f>
        <v>0</v>
      </c>
      <c r="F35" s="585">
        <f>'Input-EWEMs'!V36</f>
        <v>0</v>
      </c>
      <c r="G35" s="586">
        <f>'Input-EWEMs'!W36</f>
        <v>0</v>
      </c>
      <c r="H35" s="568" t="str">
        <f>'Input-EWEMs'!AH36</f>
        <v/>
      </c>
      <c r="I35" s="721" t="str">
        <f>'Input-EWEMs'!AI36</f>
        <v/>
      </c>
      <c r="J35" s="569" t="str">
        <f>'Input-EWEMs'!AJ36</f>
        <v/>
      </c>
      <c r="K35" s="407" t="str">
        <f t="shared" si="1"/>
        <v>← Hide this row</v>
      </c>
      <c r="M35" s="92"/>
    </row>
    <row r="36" spans="2:13" hidden="1" x14ac:dyDescent="0.2">
      <c r="B36" s="583">
        <v>26</v>
      </c>
      <c r="C36" s="584" t="str">
        <f>IF('Input-EWEMs'!F37="","", 'Input-EWEMs'!F37)</f>
        <v/>
      </c>
      <c r="D36" s="580">
        <f>'Input-EWEMs'!T37</f>
        <v>0</v>
      </c>
      <c r="E36" s="585">
        <f>'Input-EWEMs'!U37</f>
        <v>0</v>
      </c>
      <c r="F36" s="585">
        <f>'Input-EWEMs'!V37</f>
        <v>0</v>
      </c>
      <c r="G36" s="586">
        <f>'Input-EWEMs'!W37</f>
        <v>0</v>
      </c>
      <c r="H36" s="568" t="str">
        <f>'Input-EWEMs'!AH37</f>
        <v/>
      </c>
      <c r="I36" s="721" t="str">
        <f>'Input-EWEMs'!AI37</f>
        <v/>
      </c>
      <c r="J36" s="569" t="str">
        <f>'Input-EWEMs'!AJ37</f>
        <v/>
      </c>
      <c r="K36" s="407" t="str">
        <f t="shared" si="1"/>
        <v>← Hide this row</v>
      </c>
      <c r="M36" s="92"/>
    </row>
    <row r="37" spans="2:13" hidden="1" x14ac:dyDescent="0.2">
      <c r="B37" s="583">
        <v>27</v>
      </c>
      <c r="C37" s="584" t="str">
        <f>IF('Input-EWEMs'!F38="","", 'Input-EWEMs'!F38)</f>
        <v/>
      </c>
      <c r="D37" s="580">
        <f>'Input-EWEMs'!T38</f>
        <v>0</v>
      </c>
      <c r="E37" s="585">
        <f>'Input-EWEMs'!U38</f>
        <v>0</v>
      </c>
      <c r="F37" s="585">
        <f>'Input-EWEMs'!V38</f>
        <v>0</v>
      </c>
      <c r="G37" s="586">
        <f>'Input-EWEMs'!W38</f>
        <v>0</v>
      </c>
      <c r="H37" s="568" t="str">
        <f>'Input-EWEMs'!AH38</f>
        <v/>
      </c>
      <c r="I37" s="721" t="str">
        <f>'Input-EWEMs'!AI38</f>
        <v/>
      </c>
      <c r="J37" s="569" t="str">
        <f>'Input-EWEMs'!AJ38</f>
        <v/>
      </c>
      <c r="K37" s="407" t="str">
        <f t="shared" si="1"/>
        <v>← Hide this row</v>
      </c>
      <c r="M37" s="92"/>
    </row>
    <row r="38" spans="2:13" hidden="1" x14ac:dyDescent="0.2">
      <c r="B38" s="583">
        <v>28</v>
      </c>
      <c r="C38" s="584" t="str">
        <f>IF('Input-EWEMs'!F39="","", 'Input-EWEMs'!F39)</f>
        <v/>
      </c>
      <c r="D38" s="580">
        <f>'Input-EWEMs'!T39</f>
        <v>0</v>
      </c>
      <c r="E38" s="585">
        <f>'Input-EWEMs'!U39</f>
        <v>0</v>
      </c>
      <c r="F38" s="585">
        <f>'Input-EWEMs'!V39</f>
        <v>0</v>
      </c>
      <c r="G38" s="586">
        <f>'Input-EWEMs'!W39</f>
        <v>0</v>
      </c>
      <c r="H38" s="568" t="str">
        <f>'Input-EWEMs'!AH39</f>
        <v/>
      </c>
      <c r="I38" s="721" t="str">
        <f>'Input-EWEMs'!AI39</f>
        <v/>
      </c>
      <c r="J38" s="569" t="str">
        <f>'Input-EWEMs'!AJ39</f>
        <v/>
      </c>
      <c r="K38" s="407" t="str">
        <f t="shared" si="1"/>
        <v>← Hide this row</v>
      </c>
      <c r="M38" s="92"/>
    </row>
    <row r="39" spans="2:13" hidden="1" x14ac:dyDescent="0.2">
      <c r="B39" s="583">
        <v>29</v>
      </c>
      <c r="C39" s="584" t="str">
        <f>IF('Input-EWEMs'!F40="","", 'Input-EWEMs'!F40)</f>
        <v/>
      </c>
      <c r="D39" s="580">
        <f>'Input-EWEMs'!T40</f>
        <v>0</v>
      </c>
      <c r="E39" s="585">
        <f>'Input-EWEMs'!U40</f>
        <v>0</v>
      </c>
      <c r="F39" s="585">
        <f>'Input-EWEMs'!V40</f>
        <v>0</v>
      </c>
      <c r="G39" s="586">
        <f>'Input-EWEMs'!W40</f>
        <v>0</v>
      </c>
      <c r="H39" s="568" t="str">
        <f>'Input-EWEMs'!AH40</f>
        <v/>
      </c>
      <c r="I39" s="721" t="str">
        <f>'Input-EWEMs'!AI40</f>
        <v/>
      </c>
      <c r="J39" s="569" t="str">
        <f>'Input-EWEMs'!AJ40</f>
        <v/>
      </c>
      <c r="K39" s="407" t="str">
        <f t="shared" si="1"/>
        <v>← Hide this row</v>
      </c>
      <c r="M39" s="92"/>
    </row>
    <row r="40" spans="2:13" hidden="1" x14ac:dyDescent="0.2">
      <c r="B40" s="583">
        <v>30</v>
      </c>
      <c r="C40" s="584" t="str">
        <f>IF('Input-EWEMs'!F41="","", 'Input-EWEMs'!F41)</f>
        <v/>
      </c>
      <c r="D40" s="580">
        <f>'Input-EWEMs'!T41</f>
        <v>0</v>
      </c>
      <c r="E40" s="585">
        <f>'Input-EWEMs'!U41</f>
        <v>0</v>
      </c>
      <c r="F40" s="585">
        <f>'Input-EWEMs'!V41</f>
        <v>0</v>
      </c>
      <c r="G40" s="586">
        <f>'Input-EWEMs'!W41</f>
        <v>0</v>
      </c>
      <c r="H40" s="568" t="str">
        <f>'Input-EWEMs'!AH41</f>
        <v/>
      </c>
      <c r="I40" s="721" t="str">
        <f>'Input-EWEMs'!AI41</f>
        <v/>
      </c>
      <c r="J40" s="569" t="str">
        <f>'Input-EWEMs'!AJ41</f>
        <v/>
      </c>
      <c r="K40" s="407" t="str">
        <f t="shared" si="1"/>
        <v>← Hide this row</v>
      </c>
      <c r="M40" s="92"/>
    </row>
    <row r="41" spans="2:13" x14ac:dyDescent="0.2">
      <c r="B41" s="571"/>
      <c r="C41" s="587" t="s">
        <v>395</v>
      </c>
      <c r="D41" s="588">
        <f t="shared" ref="D41:J41" si="2">SUM(D11:D40)</f>
        <v>1837143</v>
      </c>
      <c r="E41" s="589">
        <f t="shared" si="2"/>
        <v>7157</v>
      </c>
      <c r="F41" s="589">
        <f t="shared" si="2"/>
        <v>0</v>
      </c>
      <c r="G41" s="590">
        <f t="shared" si="2"/>
        <v>2880500</v>
      </c>
      <c r="H41" s="591">
        <f t="shared" si="2"/>
        <v>0.82331230242908537</v>
      </c>
      <c r="I41" s="722">
        <f>SUM(I11:I40)</f>
        <v>0.89912453870605302</v>
      </c>
      <c r="J41" s="592">
        <f t="shared" si="2"/>
        <v>0.37714065454492129</v>
      </c>
      <c r="K41" s="225"/>
      <c r="M41" s="92"/>
    </row>
    <row r="42" spans="2:13" ht="15.75" customHeight="1" x14ac:dyDescent="0.2">
      <c r="E42" s="593" t="str">
        <f>IF(E9="n/a","Hide this column","")</f>
        <v/>
      </c>
      <c r="F42" s="593" t="str">
        <f>IF(F9="n/a","Hide this column","")</f>
        <v>Hide this column</v>
      </c>
      <c r="K42" s="225"/>
      <c r="M42" s="92"/>
    </row>
  </sheetData>
  <sheetProtection algorithmName="SHA-512" hashValue="DoV0G9vpGn/86f1jEVP6KOWwxpEd06KOv0OuUijzKMJ5wZN/mk6PuDThOh6+GuQGOjPOOE7AD9kI7KILHAlteQ==" saltValue="HimQGNZVC+Ds5OGm53KqWg==" spinCount="100000" sheet="1" formatColumns="0" formatRows="0"/>
  <mergeCells count="4">
    <mergeCell ref="C9:C10"/>
    <mergeCell ref="D8:J8"/>
    <mergeCell ref="B9:B10"/>
    <mergeCell ref="B4:J4"/>
  </mergeCells>
  <pageMargins left="0.7" right="0.7" top="0.75" bottom="0.75" header="0.3" footer="0.3"/>
  <pageSetup paperSize="5" scale="84" orientation="landscape" r:id="rId1"/>
  <headerFooter>
    <oddFooter>&amp;L&amp;"Source Sans Pro,Regular"&amp;8© 2023 Fannie Mae. Trademarks of Fannie Mae._x000D_&amp;1#&amp;"Calibri"&amp;10&amp;K000000 Fannie Mae Confidential&amp;C&amp;"Source Sans Pro,Regular"&amp;8Form 4099.H - October 2023&amp;R&amp;"Source Sans Pro,Regular"&amp;8Page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2A75E-43F3-4EF6-AF10-F3F91AF5E59B}">
  <sheetPr>
    <tabColor theme="1" tint="0.34998626667073579"/>
    <pageSetUpPr autoPageBreaks="0"/>
  </sheetPr>
  <dimension ref="A1:I42"/>
  <sheetViews>
    <sheetView showGridLines="0" zoomScaleNormal="100" workbookViewId="0"/>
  </sheetViews>
  <sheetFormatPr baseColWidth="10" defaultColWidth="9.33203125" defaultRowHeight="15" x14ac:dyDescent="0.2"/>
  <cols>
    <col min="1" max="1" width="2.33203125" style="92" customWidth="1"/>
    <col min="2" max="2" width="7.6640625" style="92" customWidth="1"/>
    <col min="3" max="3" width="84.1640625" style="92" customWidth="1"/>
    <col min="4" max="5" width="15.6640625" style="92" customWidth="1"/>
    <col min="6" max="6" width="10.6640625" style="92" customWidth="1"/>
    <col min="7" max="7" width="11.33203125" style="225" customWidth="1"/>
    <col min="8" max="16384" width="9.33203125" style="92"/>
  </cols>
  <sheetData>
    <row r="1" spans="1:9" ht="23.25" customHeight="1" x14ac:dyDescent="0.2">
      <c r="B1" s="90" t="s">
        <v>1</v>
      </c>
      <c r="C1" s="91"/>
      <c r="D1" s="91"/>
      <c r="E1" s="91"/>
      <c r="F1" s="91"/>
      <c r="G1" s="92"/>
    </row>
    <row r="2" spans="1:9" ht="15" customHeight="1" x14ac:dyDescent="0.2">
      <c r="A2" s="91"/>
      <c r="C2" s="91"/>
      <c r="D2" s="91"/>
      <c r="E2" s="91"/>
    </row>
    <row r="3" spans="1:9" ht="25" x14ac:dyDescent="0.3">
      <c r="B3" s="107" t="s">
        <v>633</v>
      </c>
    </row>
    <row r="4" spans="1:9" ht="30" customHeight="1" x14ac:dyDescent="0.2">
      <c r="B4" s="1028" t="s">
        <v>634</v>
      </c>
      <c r="C4" s="1028"/>
      <c r="D4" s="1028"/>
      <c r="E4" s="1028"/>
      <c r="F4" s="752"/>
      <c r="G4" s="750"/>
      <c r="H4" s="752"/>
      <c r="I4" s="752"/>
    </row>
    <row r="5" spans="1:9" s="109" customFormat="1" ht="11" x14ac:dyDescent="0.15"/>
    <row r="6" spans="1:9" ht="22.75" customHeight="1" x14ac:dyDescent="0.25">
      <c r="B6" s="147" t="s">
        <v>635</v>
      </c>
      <c r="C6" s="289"/>
      <c r="D6" s="290"/>
    </row>
    <row r="7" spans="1:9" ht="249.5" customHeight="1" x14ac:dyDescent="0.2">
      <c r="B7" s="1008" t="str">
        <f>'Input-Electrification'!B8</f>
        <v>Reducing the negative environmental impact from building energy use requires both the building and the electricity grid to be free of fossil fuels. The U.S. electricity grid has seen a 15% annual compound growth rate in wind and solar generation between 2015-2020¹, on its way towards a national goal of a 100% clean grid by 2035². While improving building efficiency through EWEMs are an important step to reducing carbon emissions, net-zero emissions cannot be achieved as long as fossil fuels are still any part of building operation.
The chart below compares estimated carbon emissions of the property's as-is energy use and equivalent all-electric energy use with all recommended EWEM upgrades, according to national clean grid scenarios targeted in the next 15 years. The "fully electric" property includes an assumed efficiency gain for replacing on-site fuel combustion (80% efficient) with electricity (100%), however, efficiencies as high as 300% can be achieved with heat pump technology.
Note: The "fully electric property" may show more carbon emissions than the "existing property" in the current electricity grid scenario because the national electricity grid currently relies largely on fossil fuels. The chart assumes the same energy consumption as the existing property and national average grid emissions; it does not take into account the higher efficiencies achievable with electric equipment or the wide range of carbon intensities among regional electricity grids. This short-term rise in emissions may be accurate for properties with local grids heavily reliant on fossil fuels (such as coal) but will be less relevant as the grid gets cleaner and can be mitigated with highly efficient electric equipment and renewable power sources (such as on-site solar).
¹ Jaeger, J. World Resources Institute. (2021). Explaining the exponential growth of renewable energy. https://www.wri.org/insights/growth-renewable-energy-sector-explained
² U.S. Department of Energy. (2021). Reimagining and rebuilding America's energy grid. https://www.energy.gov/articles/reimagining-and-rebuilding-americas-energy-grid</v>
      </c>
      <c r="C7" s="1008"/>
      <c r="D7" s="1008"/>
      <c r="E7" s="763"/>
    </row>
    <row r="8" spans="1:9" x14ac:dyDescent="0.2">
      <c r="B8" s="90"/>
    </row>
    <row r="9" spans="1:9" ht="139.75" customHeight="1" x14ac:dyDescent="0.2"/>
    <row r="18" spans="1:7" ht="40.75" customHeight="1" x14ac:dyDescent="0.2">
      <c r="B18" s="1008" t="s">
        <v>420</v>
      </c>
      <c r="C18" s="1008"/>
      <c r="D18" s="1008"/>
      <c r="E18" s="763"/>
    </row>
    <row r="20" spans="1:7" ht="18" x14ac:dyDescent="0.25">
      <c r="B20" s="147" t="s">
        <v>636</v>
      </c>
      <c r="G20" s="92"/>
    </row>
    <row r="21" spans="1:7" x14ac:dyDescent="0.2">
      <c r="G21" s="92"/>
    </row>
    <row r="22" spans="1:7" ht="28.75" customHeight="1" x14ac:dyDescent="0.2">
      <c r="B22" s="130" t="s">
        <v>637</v>
      </c>
      <c r="C22" s="131" t="s">
        <v>638</v>
      </c>
      <c r="D22" s="753" t="s">
        <v>639</v>
      </c>
      <c r="E22" s="225"/>
      <c r="G22" s="92"/>
    </row>
    <row r="23" spans="1:7" x14ac:dyDescent="0.2">
      <c r="B23" s="578">
        <v>1</v>
      </c>
      <c r="C23" s="579" t="s">
        <v>640</v>
      </c>
      <c r="D23" s="704" t="str">
        <f>IF('DB-Electrification'!B2,"Yes","No")</f>
        <v>Yes</v>
      </c>
    </row>
    <row r="24" spans="1:7" x14ac:dyDescent="0.2">
      <c r="B24" s="583">
        <v>2</v>
      </c>
      <c r="C24" s="584" t="s">
        <v>641</v>
      </c>
      <c r="D24" s="704" t="str">
        <f>IF('DB-Electrification'!C2,"Yes","No")</f>
        <v>Yes</v>
      </c>
      <c r="E24" s="407"/>
      <c r="G24" s="92"/>
    </row>
    <row r="25" spans="1:7" x14ac:dyDescent="0.2">
      <c r="B25" s="583">
        <v>3</v>
      </c>
      <c r="C25" s="584" t="s">
        <v>642</v>
      </c>
      <c r="D25" s="704" t="str">
        <f>IF('DB-Electrification'!D2,"Yes","No")</f>
        <v>Yes</v>
      </c>
      <c r="E25" s="407"/>
      <c r="G25" s="92"/>
    </row>
    <row r="26" spans="1:7" x14ac:dyDescent="0.2">
      <c r="B26" s="583">
        <v>4</v>
      </c>
      <c r="C26" s="584" t="s">
        <v>643</v>
      </c>
      <c r="D26" s="704" t="str">
        <f>IF('DB-Electrification'!E2,"Yes","No")</f>
        <v>Yes</v>
      </c>
      <c r="E26" s="407"/>
      <c r="G26" s="92"/>
    </row>
    <row r="27" spans="1:7" ht="24" customHeight="1" x14ac:dyDescent="0.2">
      <c r="B27" s="583">
        <v>5</v>
      </c>
      <c r="C27" s="584" t="s">
        <v>644</v>
      </c>
      <c r="D27" s="704" t="str">
        <f>IF('DB-Electrification'!F2,"Yes","No")</f>
        <v>No</v>
      </c>
      <c r="E27" s="407"/>
      <c r="G27" s="92"/>
    </row>
    <row r="28" spans="1:7" x14ac:dyDescent="0.2">
      <c r="B28" s="583">
        <v>6</v>
      </c>
      <c r="C28" s="584" t="s">
        <v>645</v>
      </c>
      <c r="D28" s="704" t="str">
        <f>IF('DB-Electrification'!G2,"Yes","No")</f>
        <v>Yes</v>
      </c>
      <c r="E28" s="407"/>
      <c r="G28" s="92"/>
    </row>
    <row r="29" spans="1:7" hidden="1" x14ac:dyDescent="0.2">
      <c r="B29" s="705">
        <v>7</v>
      </c>
      <c r="C29" s="706" t="str">
        <f>IF('Input-Electrification'!D29="","",'Input-Electrification'!D29)</f>
        <v/>
      </c>
      <c r="D29" s="707" t="str">
        <f>IF(C29="","No","Yes")</f>
        <v>No</v>
      </c>
      <c r="E29" s="407" t="str">
        <f>IF(C29="", "← Hide this row", "")</f>
        <v>← Hide this row</v>
      </c>
      <c r="G29" s="92"/>
    </row>
    <row r="30" spans="1:7" x14ac:dyDescent="0.2">
      <c r="A30" s="407"/>
      <c r="B30" s="1029" t="s">
        <v>646</v>
      </c>
      <c r="C30" s="1030"/>
      <c r="D30" s="1031"/>
      <c r="E30" s="407" t="str">
        <f>IF(B31="", "← Hide this row", "")</f>
        <v/>
      </c>
      <c r="G30" s="92"/>
    </row>
    <row r="31" spans="1:7" ht="49.25" customHeight="1" x14ac:dyDescent="0.2">
      <c r="B31" s="1032" t="str">
        <f>IF('Input-Electrification'!D31="","",'Input-Electrification'!D31)</f>
        <v>EV charging in parking is feasible. DHW and space heating are currently supported by natural gas. Cooking is currently natural gas.</v>
      </c>
      <c r="C31" s="1033"/>
      <c r="D31" s="1034"/>
      <c r="E31" s="407" t="str">
        <f>IF(B31="", "← Hide this row", "")</f>
        <v/>
      </c>
      <c r="G31" s="92"/>
    </row>
    <row r="32" spans="1:7" ht="26.5" customHeight="1" x14ac:dyDescent="0.2">
      <c r="B32" s="130" t="s">
        <v>637</v>
      </c>
      <c r="C32" s="131" t="s">
        <v>647</v>
      </c>
      <c r="D32" s="753" t="s">
        <v>639</v>
      </c>
    </row>
    <row r="33" spans="1:7" x14ac:dyDescent="0.2">
      <c r="B33" s="578">
        <v>1</v>
      </c>
      <c r="C33" s="579" t="s">
        <v>648</v>
      </c>
      <c r="D33" s="704" t="str">
        <f>IF('DB-Electrification'!J2,"Yes","No")</f>
        <v>Yes</v>
      </c>
    </row>
    <row r="34" spans="1:7" x14ac:dyDescent="0.2">
      <c r="B34" s="583">
        <v>2</v>
      </c>
      <c r="C34" s="584" t="s">
        <v>649</v>
      </c>
      <c r="D34" s="704" t="str">
        <f>IF('DB-Electrification'!K2,"Yes","No")</f>
        <v>Yes</v>
      </c>
    </row>
    <row r="35" spans="1:7" x14ac:dyDescent="0.2">
      <c r="B35" s="583">
        <v>3</v>
      </c>
      <c r="C35" s="584" t="s">
        <v>650</v>
      </c>
      <c r="D35" s="704" t="str">
        <f>IF('DB-Electrification'!L2,"Yes","No")</f>
        <v>No</v>
      </c>
    </row>
    <row r="36" spans="1:7" x14ac:dyDescent="0.2">
      <c r="B36" s="583">
        <v>4</v>
      </c>
      <c r="C36" s="584" t="s">
        <v>651</v>
      </c>
      <c r="D36" s="704" t="str">
        <f>IF('DB-Electrification'!M2,"Yes","No")</f>
        <v>Yes</v>
      </c>
    </row>
    <row r="37" spans="1:7" x14ac:dyDescent="0.2">
      <c r="B37" s="583">
        <v>5</v>
      </c>
      <c r="C37" s="584" t="s">
        <v>652</v>
      </c>
      <c r="D37" s="704" t="str">
        <f>IF('DB-Electrification'!N2,"Yes","No")</f>
        <v>No</v>
      </c>
    </row>
    <row r="38" spans="1:7" x14ac:dyDescent="0.2">
      <c r="B38" s="583">
        <v>6</v>
      </c>
      <c r="C38" s="584" t="s">
        <v>653</v>
      </c>
      <c r="D38" s="704" t="str">
        <f>IF('DB-Electrification'!O2,"Yes","No")</f>
        <v>No</v>
      </c>
    </row>
    <row r="39" spans="1:7" hidden="1" x14ac:dyDescent="0.2">
      <c r="B39" s="705">
        <v>7</v>
      </c>
      <c r="C39" s="706" t="str">
        <f>IF('Input-Electrification'!D41="","",'Input-Electrification'!D41)</f>
        <v/>
      </c>
      <c r="D39" s="707" t="str">
        <f>IF(C39="","No","Yes")</f>
        <v>No</v>
      </c>
      <c r="E39" s="407" t="str">
        <f>IF(C39="", "← Hide this row", "")</f>
        <v>← Hide this row</v>
      </c>
      <c r="G39" s="92"/>
    </row>
    <row r="40" spans="1:7" x14ac:dyDescent="0.2">
      <c r="A40" s="407"/>
      <c r="B40" s="1029" t="s">
        <v>646</v>
      </c>
      <c r="C40" s="1030"/>
      <c r="D40" s="1031"/>
      <c r="E40" s="407" t="str">
        <f>IF(B41="", "← Hide this row", "")</f>
        <v/>
      </c>
      <c r="G40" s="92"/>
    </row>
    <row r="41" spans="1:7" ht="52.25" customHeight="1" x14ac:dyDescent="0.2">
      <c r="B41" s="1032" t="str">
        <f>IF('Input-Electrification'!D43="","",'Input-Electrification'!D43)</f>
        <v>Switching from a furnace + air conditioner to a more efficient heat pump is recommended as an EWEM. EV charging and electric DHW may be feasible.</v>
      </c>
      <c r="C41" s="1033"/>
      <c r="D41" s="1034"/>
      <c r="E41" s="407" t="str">
        <f>IF(B41="", "← Hide this row", "")</f>
        <v/>
      </c>
      <c r="G41" s="92"/>
    </row>
    <row r="42" spans="1:7" x14ac:dyDescent="0.2">
      <c r="B42" s="701"/>
      <c r="C42" s="702"/>
      <c r="D42" s="703"/>
      <c r="E42" s="407"/>
      <c r="G42" s="92"/>
    </row>
  </sheetData>
  <sheetProtection algorithmName="SHA-512" hashValue="waigtxSVFw+flJWR2m5cN639vghN0yCqCjRjVVVic+l1vbQ9RaqoXVEDY/pKQ4TJrH6TZIYkpas5Zhz46FcMgw==" saltValue="jEMsIis/19b67B/3ZVVFDQ==" spinCount="100000" sheet="1" formatColumns="0" formatRows="0"/>
  <mergeCells count="7">
    <mergeCell ref="B30:D30"/>
    <mergeCell ref="B31:D31"/>
    <mergeCell ref="B40:D40"/>
    <mergeCell ref="B41:D41"/>
    <mergeCell ref="B4:E4"/>
    <mergeCell ref="B7:D7"/>
    <mergeCell ref="B18:D18"/>
  </mergeCells>
  <pageMargins left="0.7" right="0.7" top="0.75" bottom="0.75" header="0.3" footer="0.3"/>
  <pageSetup paperSize="5" scale="84" orientation="landscape" r:id="rId1"/>
  <headerFooter>
    <oddFooter>&amp;L&amp;"Source Sans Pro,Regular"&amp;8© 2023 Fannie Mae. Trademarks of Fannie Mae._x000D_&amp;1#&amp;"Calibri"&amp;10&amp;K000000 Fannie Mae Confidential&amp;C&amp;"Source Sans Pro,Regular"&amp;8Form 4099.H - October 2023&amp;R&amp;"Source Sans Pro,Regular"&amp;8Page &amp;P of &amp;N</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dimension ref="A1:K111"/>
  <sheetViews>
    <sheetView topLeftCell="A68" zoomScale="90" zoomScaleNormal="90" workbookViewId="0">
      <selection activeCell="E28" sqref="E28"/>
    </sheetView>
  </sheetViews>
  <sheetFormatPr baseColWidth="10" defaultColWidth="8.83203125" defaultRowHeight="15" x14ac:dyDescent="0.2"/>
  <cols>
    <col min="2" max="2" width="23.33203125" customWidth="1"/>
    <col min="3" max="3" width="18.6640625" customWidth="1"/>
    <col min="4" max="4" width="15.6640625" customWidth="1"/>
    <col min="5" max="5" width="16" customWidth="1"/>
    <col min="6" max="6" width="18.33203125" customWidth="1"/>
    <col min="7" max="7" width="15.6640625" customWidth="1"/>
    <col min="8" max="8" width="18" customWidth="1"/>
    <col min="9" max="9" width="18.6640625" customWidth="1"/>
    <col min="10" max="10" width="16.33203125" customWidth="1"/>
    <col min="11" max="11" width="54.83203125" customWidth="1"/>
    <col min="12" max="12" width="12.33203125" customWidth="1"/>
  </cols>
  <sheetData>
    <row r="1" spans="2:11" ht="21" x14ac:dyDescent="0.25">
      <c r="B1" s="5" t="s">
        <v>654</v>
      </c>
    </row>
    <row r="2" spans="2:11" ht="16" thickBot="1" x14ac:dyDescent="0.25"/>
    <row r="3" spans="2:11" ht="16" thickBot="1" x14ac:dyDescent="0.25">
      <c r="B3" s="6" t="s">
        <v>655</v>
      </c>
      <c r="C3" s="6">
        <v>2.2046226199999999</v>
      </c>
    </row>
    <row r="4" spans="2:11" ht="16" thickBot="1" x14ac:dyDescent="0.25"/>
    <row r="5" spans="2:11" s="4" customFormat="1" ht="32" x14ac:dyDescent="0.2">
      <c r="B5" s="663" t="s">
        <v>267</v>
      </c>
      <c r="C5" s="664" t="s">
        <v>656</v>
      </c>
      <c r="D5" s="664" t="s">
        <v>657</v>
      </c>
      <c r="E5" s="664" t="s">
        <v>658</v>
      </c>
      <c r="F5" s="664" t="s">
        <v>659</v>
      </c>
      <c r="G5" s="664" t="s">
        <v>660</v>
      </c>
      <c r="H5" s="670" t="s">
        <v>661</v>
      </c>
      <c r="I5" s="664" t="s">
        <v>662</v>
      </c>
      <c r="J5" s="664" t="s">
        <v>663</v>
      </c>
      <c r="K5" s="665" t="s">
        <v>430</v>
      </c>
    </row>
    <row r="6" spans="2:11" x14ac:dyDescent="0.2">
      <c r="B6" s="657" t="s">
        <v>117</v>
      </c>
      <c r="C6" s="647" t="s">
        <v>277</v>
      </c>
      <c r="D6" s="648">
        <v>3412</v>
      </c>
      <c r="E6" s="649">
        <v>2.8</v>
      </c>
      <c r="F6" s="650">
        <f>D6*E6</f>
        <v>9553.5999999999985</v>
      </c>
      <c r="G6" s="647" t="s">
        <v>664</v>
      </c>
      <c r="H6" s="651">
        <f>J6*$C$3*D6/1000000</f>
        <v>0.82254954969176386</v>
      </c>
      <c r="I6" s="647">
        <v>3.1</v>
      </c>
      <c r="J6" s="652">
        <v>109.35</v>
      </c>
      <c r="K6" s="659" t="s">
        <v>665</v>
      </c>
    </row>
    <row r="7" spans="2:11" x14ac:dyDescent="0.2">
      <c r="B7" s="56" t="s">
        <v>119</v>
      </c>
      <c r="C7" s="11" t="s">
        <v>666</v>
      </c>
      <c r="D7" s="9">
        <v>100000</v>
      </c>
      <c r="E7" s="10">
        <v>1.05</v>
      </c>
      <c r="F7" s="10">
        <f>D7*E7</f>
        <v>105000</v>
      </c>
      <c r="G7" s="11" t="s">
        <v>664</v>
      </c>
      <c r="H7" s="79">
        <f>J7*$C$3*D7/1000000</f>
        <v>11.708750734819999</v>
      </c>
      <c r="I7" s="11">
        <v>3.2</v>
      </c>
      <c r="J7" s="11">
        <v>53.11</v>
      </c>
      <c r="K7" s="660"/>
    </row>
    <row r="8" spans="2:11" x14ac:dyDescent="0.2">
      <c r="B8" s="658" t="s">
        <v>119</v>
      </c>
      <c r="C8" s="653" t="s">
        <v>667</v>
      </c>
      <c r="D8" s="654">
        <v>102600</v>
      </c>
      <c r="E8" s="655">
        <v>1.05</v>
      </c>
      <c r="F8" s="655">
        <f t="shared" ref="F8" si="0">D8*E8</f>
        <v>107730</v>
      </c>
      <c r="G8" s="653" t="s">
        <v>664</v>
      </c>
      <c r="H8" s="656">
        <f>J8*$C$3*D8/1000000</f>
        <v>12.01317825392532</v>
      </c>
      <c r="I8" s="653">
        <v>3.2</v>
      </c>
      <c r="J8" s="653">
        <v>53.11</v>
      </c>
      <c r="K8" s="661"/>
    </row>
    <row r="9" spans="2:11" x14ac:dyDescent="0.2">
      <c r="B9" s="56" t="s">
        <v>121</v>
      </c>
      <c r="C9" s="11" t="s">
        <v>668</v>
      </c>
      <c r="D9" s="9">
        <v>138000</v>
      </c>
      <c r="E9" s="10">
        <v>1.01</v>
      </c>
      <c r="F9" s="9">
        <f>D9*E9</f>
        <v>139380</v>
      </c>
      <c r="G9" s="11" t="s">
        <v>664</v>
      </c>
      <c r="H9" s="79">
        <f t="shared" ref="H9:H15" si="1">J9*$C$3*D9/1000000</f>
        <v>22.577496158967598</v>
      </c>
      <c r="I9" s="11">
        <v>3.2</v>
      </c>
      <c r="J9" s="11">
        <v>74.209999999999994</v>
      </c>
      <c r="K9" s="660"/>
    </row>
    <row r="10" spans="2:11" x14ac:dyDescent="0.2">
      <c r="B10" s="56" t="s">
        <v>122</v>
      </c>
      <c r="C10" s="11" t="s">
        <v>669</v>
      </c>
      <c r="D10" s="9">
        <v>146000</v>
      </c>
      <c r="E10" s="10">
        <v>1.01</v>
      </c>
      <c r="F10" s="9">
        <f t="shared" ref="F10:F13" si="2">D10*E10</f>
        <v>147460</v>
      </c>
      <c r="G10" s="11" t="s">
        <v>664</v>
      </c>
      <c r="H10" s="79">
        <f>J10*$C$3*D10/1000000</f>
        <v>24.233961410730799</v>
      </c>
      <c r="I10" s="11">
        <v>3.2</v>
      </c>
      <c r="J10" s="11">
        <v>75.290000000000006</v>
      </c>
      <c r="K10" s="660"/>
    </row>
    <row r="11" spans="2:11" x14ac:dyDescent="0.2">
      <c r="B11" s="658" t="s">
        <v>123</v>
      </c>
      <c r="C11" s="653" t="s">
        <v>670</v>
      </c>
      <c r="D11" s="654">
        <v>150000</v>
      </c>
      <c r="E11" s="655">
        <v>1.01</v>
      </c>
      <c r="F11" s="654">
        <f>D11*E11</f>
        <v>151500</v>
      </c>
      <c r="G11" s="653" t="s">
        <v>664</v>
      </c>
      <c r="H11" s="656">
        <f t="shared" si="1"/>
        <v>24.917747162549993</v>
      </c>
      <c r="I11" s="653">
        <v>3.2</v>
      </c>
      <c r="J11" s="653">
        <v>75.349999999999994</v>
      </c>
      <c r="K11" s="661"/>
    </row>
    <row r="12" spans="2:11" x14ac:dyDescent="0.2">
      <c r="B12" s="56" t="s">
        <v>124</v>
      </c>
      <c r="C12" s="11" t="s">
        <v>671</v>
      </c>
      <c r="D12" s="9">
        <v>92000</v>
      </c>
      <c r="E12" s="10">
        <v>1.01</v>
      </c>
      <c r="F12" s="10">
        <f t="shared" si="2"/>
        <v>92920</v>
      </c>
      <c r="G12" s="11" t="s">
        <v>664</v>
      </c>
      <c r="H12" s="79">
        <f t="shared" si="1"/>
        <v>13.03152430682</v>
      </c>
      <c r="I12" s="11">
        <v>3.2</v>
      </c>
      <c r="J12" s="11">
        <v>64.25</v>
      </c>
      <c r="K12" s="660"/>
    </row>
    <row r="13" spans="2:11" x14ac:dyDescent="0.2">
      <c r="B13" s="658" t="s">
        <v>124</v>
      </c>
      <c r="C13" s="653" t="s">
        <v>672</v>
      </c>
      <c r="D13" s="654">
        <v>251600</v>
      </c>
      <c r="E13" s="655">
        <v>1.01</v>
      </c>
      <c r="F13" s="655">
        <f t="shared" si="2"/>
        <v>254116</v>
      </c>
      <c r="G13" s="653" t="s">
        <v>664</v>
      </c>
      <c r="H13" s="656">
        <f t="shared" si="1"/>
        <v>35.638386039086001</v>
      </c>
      <c r="I13" s="653">
        <v>3.2</v>
      </c>
      <c r="J13" s="653">
        <v>64.25</v>
      </c>
      <c r="K13" s="661"/>
    </row>
    <row r="14" spans="2:11" x14ac:dyDescent="0.2">
      <c r="B14" s="56" t="s">
        <v>125</v>
      </c>
      <c r="C14" s="11" t="s">
        <v>673</v>
      </c>
      <c r="D14" s="9">
        <v>1194000</v>
      </c>
      <c r="E14" s="10">
        <v>1.2</v>
      </c>
      <c r="F14" s="10">
        <f>D14*E14</f>
        <v>1432800</v>
      </c>
      <c r="G14" s="11" t="s">
        <v>664</v>
      </c>
      <c r="H14" s="79">
        <f t="shared" si="1"/>
        <v>174.78600870979199</v>
      </c>
      <c r="I14" s="11">
        <v>3.3</v>
      </c>
      <c r="J14" s="11">
        <v>66.400000000000006</v>
      </c>
      <c r="K14" s="660" t="s">
        <v>674</v>
      </c>
    </row>
    <row r="15" spans="2:11" x14ac:dyDescent="0.2">
      <c r="B15" s="657" t="s">
        <v>675</v>
      </c>
      <c r="C15" s="647" t="s">
        <v>676</v>
      </c>
      <c r="D15" s="648">
        <v>100000</v>
      </c>
      <c r="E15" s="650">
        <v>1.2</v>
      </c>
      <c r="F15" s="650">
        <f>D15*E15</f>
        <v>120000</v>
      </c>
      <c r="G15" s="647" t="s">
        <v>677</v>
      </c>
      <c r="H15" s="651">
        <f t="shared" si="1"/>
        <v>14.638694196800001</v>
      </c>
      <c r="I15" s="647">
        <v>3.3</v>
      </c>
      <c r="J15" s="647">
        <v>66.400000000000006</v>
      </c>
      <c r="K15" s="659"/>
    </row>
    <row r="16" spans="2:11" x14ac:dyDescent="0.2">
      <c r="B16" s="657" t="s">
        <v>678</v>
      </c>
      <c r="C16" s="647" t="s">
        <v>679</v>
      </c>
      <c r="D16" s="648">
        <v>12000</v>
      </c>
      <c r="E16" s="650">
        <v>0.91</v>
      </c>
      <c r="F16" s="650">
        <f>D16*E16</f>
        <v>10920</v>
      </c>
      <c r="G16" s="647" t="s">
        <v>677</v>
      </c>
      <c r="H16" s="651">
        <f>J16*$C$3*D16/1000000</f>
        <v>1.394203344888</v>
      </c>
      <c r="I16" s="647">
        <v>3.3</v>
      </c>
      <c r="J16" s="647">
        <v>52.7</v>
      </c>
      <c r="K16" s="659" t="s">
        <v>680</v>
      </c>
    </row>
    <row r="17" spans="1:11" ht="16" thickBot="1" x14ac:dyDescent="0.25">
      <c r="B17" s="57" t="s">
        <v>313</v>
      </c>
      <c r="C17" s="637"/>
      <c r="D17" s="635"/>
      <c r="E17" s="636"/>
      <c r="F17" s="7"/>
      <c r="G17" s="637"/>
      <c r="H17" s="80"/>
      <c r="I17" s="637"/>
      <c r="J17" s="637"/>
      <c r="K17" s="662" t="s">
        <v>681</v>
      </c>
    </row>
    <row r="18" spans="1:11" ht="14.5" customHeight="1" thickBot="1" x14ac:dyDescent="0.25"/>
    <row r="19" spans="1:11" x14ac:dyDescent="0.2">
      <c r="B19" s="666" t="s">
        <v>267</v>
      </c>
      <c r="C19" s="667" t="s">
        <v>656</v>
      </c>
      <c r="D19" s="667" t="s">
        <v>682</v>
      </c>
      <c r="E19" s="668"/>
      <c r="F19" s="668"/>
      <c r="G19" s="668"/>
      <c r="H19" s="668"/>
      <c r="I19" s="668"/>
      <c r="J19" s="668"/>
      <c r="K19" s="669" t="s">
        <v>430</v>
      </c>
    </row>
    <row r="20" spans="1:11" x14ac:dyDescent="0.2">
      <c r="B20" s="56" t="s">
        <v>278</v>
      </c>
      <c r="C20" s="11" t="s">
        <v>683</v>
      </c>
      <c r="D20" s="11">
        <v>1</v>
      </c>
      <c r="E20" s="11"/>
      <c r="F20" s="11"/>
      <c r="G20" s="11"/>
      <c r="H20" s="12"/>
      <c r="I20" s="11"/>
      <c r="J20" s="11"/>
      <c r="K20" s="660"/>
    </row>
    <row r="21" spans="1:11" x14ac:dyDescent="0.2">
      <c r="B21" s="56" t="s">
        <v>278</v>
      </c>
      <c r="C21" s="11" t="s">
        <v>623</v>
      </c>
      <c r="D21" s="9">
        <v>1000</v>
      </c>
      <c r="E21" s="9"/>
      <c r="F21" s="9"/>
      <c r="G21" s="11"/>
      <c r="H21" s="12"/>
      <c r="I21" s="11"/>
      <c r="J21" s="11"/>
      <c r="K21" s="660"/>
    </row>
    <row r="22" spans="1:11" x14ac:dyDescent="0.2">
      <c r="B22" s="56" t="s">
        <v>278</v>
      </c>
      <c r="C22" s="11" t="s">
        <v>684</v>
      </c>
      <c r="D22" s="11">
        <v>7.4805000000000001</v>
      </c>
      <c r="E22" s="11"/>
      <c r="F22" s="11"/>
      <c r="G22" s="11"/>
      <c r="H22" s="12"/>
      <c r="I22" s="11"/>
      <c r="J22" s="11"/>
      <c r="K22" s="660"/>
    </row>
    <row r="23" spans="1:11" ht="16" thickBot="1" x14ac:dyDescent="0.25">
      <c r="B23" s="57" t="s">
        <v>278</v>
      </c>
      <c r="C23" s="8" t="s">
        <v>685</v>
      </c>
      <c r="D23" s="8">
        <v>748.05</v>
      </c>
      <c r="E23" s="8"/>
      <c r="F23" s="8"/>
      <c r="G23" s="8"/>
      <c r="H23" s="646"/>
      <c r="I23" s="8"/>
      <c r="J23" s="8"/>
      <c r="K23" s="662"/>
    </row>
    <row r="25" spans="1:11" ht="19" x14ac:dyDescent="0.25">
      <c r="B25" s="13" t="s">
        <v>686</v>
      </c>
    </row>
    <row r="26" spans="1:11" x14ac:dyDescent="0.2">
      <c r="A26" s="11">
        <v>1</v>
      </c>
      <c r="B26" s="633" t="s">
        <v>687</v>
      </c>
      <c r="D26" s="78"/>
    </row>
    <row r="27" spans="1:11" x14ac:dyDescent="0.2">
      <c r="A27" s="11">
        <v>2</v>
      </c>
      <c r="B27" s="633" t="s">
        <v>688</v>
      </c>
      <c r="D27" s="78"/>
    </row>
    <row r="28" spans="1:11" x14ac:dyDescent="0.2">
      <c r="A28" s="11">
        <v>3</v>
      </c>
      <c r="B28" s="777" t="s">
        <v>689</v>
      </c>
      <c r="D28" s="78"/>
    </row>
    <row r="29" spans="1:11" x14ac:dyDescent="0.2">
      <c r="B29" s="634">
        <v>3.1</v>
      </c>
      <c r="C29" s="41" t="s">
        <v>690</v>
      </c>
    </row>
    <row r="30" spans="1:11" x14ac:dyDescent="0.2">
      <c r="B30" s="634">
        <v>3.2</v>
      </c>
      <c r="C30" s="41" t="s">
        <v>691</v>
      </c>
    </row>
    <row r="31" spans="1:11" x14ac:dyDescent="0.2">
      <c r="B31" s="634">
        <v>3.3</v>
      </c>
      <c r="C31" s="41" t="s">
        <v>692</v>
      </c>
    </row>
    <row r="32" spans="1:11" x14ac:dyDescent="0.2">
      <c r="K32" s="708"/>
    </row>
    <row r="35" spans="1:8" s="16" customFormat="1" x14ac:dyDescent="0.2">
      <c r="A35"/>
      <c r="B35" s="687" t="s">
        <v>693</v>
      </c>
    </row>
    <row r="36" spans="1:8" s="16" customFormat="1" ht="32.25" customHeight="1" x14ac:dyDescent="0.15">
      <c r="B36" s="1044" t="s">
        <v>694</v>
      </c>
      <c r="C36" s="1045"/>
      <c r="D36" s="1045"/>
      <c r="E36" s="1041" t="s">
        <v>695</v>
      </c>
      <c r="F36" s="1042"/>
      <c r="G36" s="1041" t="s">
        <v>696</v>
      </c>
      <c r="H36" s="1043"/>
    </row>
    <row r="37" spans="1:8" s="16" customFormat="1" ht="13" x14ac:dyDescent="0.15">
      <c r="B37" s="1046" t="s">
        <v>339</v>
      </c>
      <c r="C37" s="1047"/>
      <c r="D37" s="1048"/>
      <c r="E37" s="19">
        <v>1.6</v>
      </c>
      <c r="F37" s="20" t="s">
        <v>340</v>
      </c>
      <c r="G37" s="23">
        <v>5</v>
      </c>
      <c r="H37" s="681" t="s">
        <v>348</v>
      </c>
    </row>
    <row r="38" spans="1:8" s="16" customFormat="1" ht="12" customHeight="1" x14ac:dyDescent="0.15">
      <c r="B38" s="1035" t="s">
        <v>697</v>
      </c>
      <c r="C38" s="1036"/>
      <c r="D38" s="1037"/>
      <c r="E38" s="21">
        <v>2.2000000000000002</v>
      </c>
      <c r="F38" s="22" t="s">
        <v>336</v>
      </c>
      <c r="G38" s="24">
        <v>5</v>
      </c>
      <c r="H38" s="682" t="s">
        <v>347</v>
      </c>
    </row>
    <row r="39" spans="1:8" s="16" customFormat="1" ht="12" customHeight="1" x14ac:dyDescent="0.15">
      <c r="B39" s="1035" t="s">
        <v>698</v>
      </c>
      <c r="C39" s="1036"/>
      <c r="D39" s="1037"/>
      <c r="E39" s="21">
        <v>2.2000000000000002</v>
      </c>
      <c r="F39" s="22" t="s">
        <v>336</v>
      </c>
      <c r="G39" s="24">
        <v>4</v>
      </c>
      <c r="H39" s="682" t="s">
        <v>347</v>
      </c>
    </row>
    <row r="40" spans="1:8" s="16" customFormat="1" ht="12" customHeight="1" x14ac:dyDescent="0.15">
      <c r="B40" s="1038" t="s">
        <v>338</v>
      </c>
      <c r="C40" s="1039"/>
      <c r="D40" s="1040"/>
      <c r="E40" s="683">
        <v>2.5</v>
      </c>
      <c r="F40" s="684" t="s">
        <v>336</v>
      </c>
      <c r="G40" s="685">
        <v>8</v>
      </c>
      <c r="H40" s="686" t="s">
        <v>347</v>
      </c>
    </row>
    <row r="41" spans="1:8" s="16" customFormat="1" ht="12" x14ac:dyDescent="0.15"/>
    <row r="43" spans="1:8" x14ac:dyDescent="0.2">
      <c r="B43" s="59" t="s">
        <v>699</v>
      </c>
      <c r="C43" s="58"/>
      <c r="E43" s="59" t="s">
        <v>700</v>
      </c>
      <c r="F43" s="58"/>
    </row>
    <row r="44" spans="1:8" x14ac:dyDescent="0.2">
      <c r="B44" s="60" t="s">
        <v>701</v>
      </c>
      <c r="C44" s="63" t="s">
        <v>702</v>
      </c>
      <c r="E44" s="60" t="s">
        <v>701</v>
      </c>
      <c r="F44" s="63" t="s">
        <v>702</v>
      </c>
    </row>
    <row r="45" spans="1:8" x14ac:dyDescent="0.2">
      <c r="B45" s="61">
        <f>'Lender Validation'!C44</f>
        <v>1</v>
      </c>
      <c r="C45" s="64" t="b">
        <f>IF('Input-EWEMs'!D12&lt;&gt;"", IF('Lender Validation'!B44&lt;&gt;"",TRUE,FALSE),"n/a")</f>
        <v>1</v>
      </c>
      <c r="E45" s="82">
        <f>'Check Errors'!C24</f>
        <v>1</v>
      </c>
      <c r="F45" s="64" t="str">
        <f ca="1">IF('Check Errors'!F24&lt;&gt;"", IF('Check Errors'!G24&lt;&gt;"",TRUE,FALSE),"n/a")</f>
        <v>n/a</v>
      </c>
    </row>
    <row r="46" spans="1:8" x14ac:dyDescent="0.2">
      <c r="B46" s="62">
        <f>'Lender Validation'!C45</f>
        <v>2</v>
      </c>
      <c r="C46" s="64" t="b">
        <f>IF('Input-EWEMs'!D13&lt;&gt;"", IF('Lender Validation'!B45&lt;&gt;"",TRUE,FALSE),"n/a")</f>
        <v>1</v>
      </c>
      <c r="E46" s="83">
        <f>'Check Errors'!C25</f>
        <v>2</v>
      </c>
      <c r="F46" s="64" t="str">
        <f ca="1">IF('Check Errors'!F25&lt;&gt;"", IF('Check Errors'!G25&lt;&gt;"",TRUE,FALSE),"n/a")</f>
        <v>n/a</v>
      </c>
    </row>
    <row r="47" spans="1:8" x14ac:dyDescent="0.2">
      <c r="B47" s="62">
        <f>'Lender Validation'!C46</f>
        <v>3</v>
      </c>
      <c r="C47" s="64" t="b">
        <f>IF('Input-EWEMs'!D14&lt;&gt;"", IF('Lender Validation'!B46&lt;&gt;"",TRUE,FALSE),"n/a")</f>
        <v>1</v>
      </c>
      <c r="E47" s="83">
        <f>'Check Errors'!C26</f>
        <v>3</v>
      </c>
      <c r="F47" s="64" t="str">
        <f ca="1">IF('Check Errors'!F26&lt;&gt;"", IF('Check Errors'!G26&lt;&gt;"",TRUE,FALSE),"n/a")</f>
        <v>n/a</v>
      </c>
    </row>
    <row r="48" spans="1:8" x14ac:dyDescent="0.2">
      <c r="B48" s="62">
        <f>'Lender Validation'!C47</f>
        <v>4</v>
      </c>
      <c r="C48" s="64" t="b">
        <f>IF('Input-EWEMs'!D15&lt;&gt;"", IF('Lender Validation'!B47&lt;&gt;"",TRUE,FALSE),"n/a")</f>
        <v>1</v>
      </c>
      <c r="E48" s="83">
        <f>'Check Errors'!C27</f>
        <v>4</v>
      </c>
      <c r="F48" s="64" t="str">
        <f ca="1">IF('Check Errors'!F27&lt;&gt;"", IF('Check Errors'!G27&lt;&gt;"",TRUE,FALSE),"n/a")</f>
        <v>n/a</v>
      </c>
    </row>
    <row r="49" spans="2:6" x14ac:dyDescent="0.2">
      <c r="B49" s="62">
        <f>'Lender Validation'!C48</f>
        <v>5</v>
      </c>
      <c r="C49" s="64" t="b">
        <f>IF('Input-EWEMs'!D16&lt;&gt;"", IF('Lender Validation'!B48&lt;&gt;"",TRUE,FALSE),"n/a")</f>
        <v>1</v>
      </c>
      <c r="E49" s="83">
        <f>'Check Errors'!C28</f>
        <v>5</v>
      </c>
      <c r="F49" s="64" t="str">
        <f ca="1">IF('Check Errors'!F28&lt;&gt;"", IF('Check Errors'!G28&lt;&gt;"",TRUE,FALSE),"n/a")</f>
        <v>n/a</v>
      </c>
    </row>
    <row r="50" spans="2:6" x14ac:dyDescent="0.2">
      <c r="B50" s="62">
        <f>'Lender Validation'!C49</f>
        <v>6</v>
      </c>
      <c r="C50" s="64" t="b">
        <f>IF('Input-EWEMs'!D17&lt;&gt;"", IF('Lender Validation'!B49&lt;&gt;"",TRUE,FALSE),"n/a")</f>
        <v>1</v>
      </c>
      <c r="E50" s="83">
        <f>'Check Errors'!C29</f>
        <v>6</v>
      </c>
      <c r="F50" s="64" t="str">
        <f ca="1">IF('Check Errors'!F29&lt;&gt;"", IF('Check Errors'!G29&lt;&gt;"",TRUE,FALSE),"n/a")</f>
        <v>n/a</v>
      </c>
    </row>
    <row r="51" spans="2:6" x14ac:dyDescent="0.2">
      <c r="B51" s="62">
        <f>'Lender Validation'!C50</f>
        <v>7</v>
      </c>
      <c r="C51" s="64" t="b">
        <f>IF('Input-EWEMs'!D18&lt;&gt;"", IF('Lender Validation'!B50&lt;&gt;"",TRUE,FALSE),"n/a")</f>
        <v>1</v>
      </c>
      <c r="E51" s="83">
        <f>'Check Errors'!C30</f>
        <v>7</v>
      </c>
      <c r="F51" s="64" t="b">
        <f ca="1">IF('Check Errors'!F30&lt;&gt;"", IF('Check Errors'!G30&lt;&gt;"",TRUE,FALSE),"n/a")</f>
        <v>1</v>
      </c>
    </row>
    <row r="52" spans="2:6" x14ac:dyDescent="0.2">
      <c r="B52" s="62">
        <f>'Lender Validation'!C51</f>
        <v>8</v>
      </c>
      <c r="C52" s="64" t="b">
        <f>IF('Input-EWEMs'!D19&lt;&gt;"", IF('Lender Validation'!B51&lt;&gt;"",TRUE,FALSE),"n/a")</f>
        <v>1</v>
      </c>
      <c r="E52" s="83">
        <f>'Check Errors'!C31</f>
        <v>8</v>
      </c>
      <c r="F52" s="64" t="str">
        <f ca="1">IF('Check Errors'!F31&lt;&gt;"", IF('Check Errors'!G31&lt;&gt;"",TRUE,FALSE),"n/a")</f>
        <v>n/a</v>
      </c>
    </row>
    <row r="53" spans="2:6" x14ac:dyDescent="0.2">
      <c r="B53" s="62">
        <f>'Lender Validation'!C52</f>
        <v>9</v>
      </c>
      <c r="C53" s="64" t="b">
        <f>IF('Input-EWEMs'!D20&lt;&gt;"", IF('Lender Validation'!B52&lt;&gt;"",TRUE,FALSE),"n/a")</f>
        <v>1</v>
      </c>
      <c r="E53" s="83">
        <f>'Check Errors'!C32</f>
        <v>9</v>
      </c>
      <c r="F53" s="64" t="str">
        <f ca="1">IF('Check Errors'!F32&lt;&gt;"", IF('Check Errors'!G32&lt;&gt;"",TRUE,FALSE),"n/a")</f>
        <v>n/a</v>
      </c>
    </row>
    <row r="54" spans="2:6" x14ac:dyDescent="0.2">
      <c r="B54" s="62">
        <f>'Lender Validation'!C53</f>
        <v>10</v>
      </c>
      <c r="C54" s="64" t="b">
        <f>IF('Input-EWEMs'!D21&lt;&gt;"", IF('Lender Validation'!B53&lt;&gt;"",TRUE,FALSE),"n/a")</f>
        <v>1</v>
      </c>
      <c r="E54" s="83">
        <f>'Check Errors'!C33</f>
        <v>10</v>
      </c>
      <c r="F54" s="64" t="str">
        <f ca="1">IF('Check Errors'!F33&lt;&gt;"", IF('Check Errors'!G33&lt;&gt;"",TRUE,FALSE),"n/a")</f>
        <v>n/a</v>
      </c>
    </row>
    <row r="55" spans="2:6" x14ac:dyDescent="0.2">
      <c r="B55" s="62">
        <f>'Lender Validation'!C54</f>
        <v>11</v>
      </c>
      <c r="C55" s="64" t="b">
        <f>IF('Input-EWEMs'!D22&lt;&gt;"", IF('Lender Validation'!B54&lt;&gt;"",TRUE,FALSE),"n/a")</f>
        <v>1</v>
      </c>
      <c r="E55" s="83">
        <f>'Check Errors'!C34</f>
        <v>11</v>
      </c>
      <c r="F55" s="64" t="str">
        <f ca="1">IF('Check Errors'!F34&lt;&gt;"", IF('Check Errors'!G34&lt;&gt;"",TRUE,FALSE),"n/a")</f>
        <v>n/a</v>
      </c>
    </row>
    <row r="56" spans="2:6" x14ac:dyDescent="0.2">
      <c r="B56" s="62">
        <f>'Lender Validation'!C55</f>
        <v>12</v>
      </c>
      <c r="C56" s="64" t="b">
        <f>IF('Input-EWEMs'!D23&lt;&gt;"", IF('Lender Validation'!B55&lt;&gt;"",TRUE,FALSE),"n/a")</f>
        <v>1</v>
      </c>
      <c r="E56" s="83">
        <f>'Check Errors'!C35</f>
        <v>12</v>
      </c>
      <c r="F56" s="64" t="b">
        <f ca="1">IF('Check Errors'!F35&lt;&gt;"", IF('Check Errors'!G35&lt;&gt;"",TRUE,FALSE),"n/a")</f>
        <v>1</v>
      </c>
    </row>
    <row r="57" spans="2:6" x14ac:dyDescent="0.2">
      <c r="B57" s="62">
        <f>'Lender Validation'!C56</f>
        <v>13</v>
      </c>
      <c r="C57" s="64" t="b">
        <f>IF('Input-EWEMs'!D24&lt;&gt;"", IF('Lender Validation'!B56&lt;&gt;"",TRUE,FALSE),"n/a")</f>
        <v>1</v>
      </c>
      <c r="E57" s="83">
        <f>'Check Errors'!C36</f>
        <v>13</v>
      </c>
      <c r="F57" s="64" t="str">
        <f ca="1">IF('Check Errors'!F36&lt;&gt;"", IF('Check Errors'!G36&lt;&gt;"",TRUE,FALSE),"n/a")</f>
        <v>n/a</v>
      </c>
    </row>
    <row r="58" spans="2:6" x14ac:dyDescent="0.2">
      <c r="B58" s="62">
        <f>'Lender Validation'!C57</f>
        <v>14</v>
      </c>
      <c r="C58" s="64" t="b">
        <f>IF('Input-EWEMs'!D25&lt;&gt;"", IF('Lender Validation'!B57&lt;&gt;"",TRUE,FALSE),"n/a")</f>
        <v>1</v>
      </c>
      <c r="E58" s="83">
        <f>'Check Errors'!C37</f>
        <v>14</v>
      </c>
      <c r="F58" s="64" t="str">
        <f ca="1">IF('Check Errors'!F37&lt;&gt;"", IF('Check Errors'!G37&lt;&gt;"",TRUE,FALSE),"n/a")</f>
        <v>n/a</v>
      </c>
    </row>
    <row r="59" spans="2:6" x14ac:dyDescent="0.2">
      <c r="B59" s="62">
        <f>'Lender Validation'!C58</f>
        <v>15</v>
      </c>
      <c r="C59" s="64" t="b">
        <f>IF('Input-EWEMs'!D26&lt;&gt;"", IF('Lender Validation'!B58&lt;&gt;"",TRUE,FALSE),"n/a")</f>
        <v>1</v>
      </c>
      <c r="E59" s="83">
        <f>'Check Errors'!C38</f>
        <v>15</v>
      </c>
      <c r="F59" s="64" t="str">
        <f ca="1">IF('Check Errors'!F38&lt;&gt;"", IF('Check Errors'!G38&lt;&gt;"",TRUE,FALSE),"n/a")</f>
        <v>n/a</v>
      </c>
    </row>
    <row r="60" spans="2:6" x14ac:dyDescent="0.2">
      <c r="B60" s="62">
        <f>'Lender Validation'!C59</f>
        <v>16</v>
      </c>
      <c r="C60" s="64" t="str">
        <f>IF('Input-EWEMs'!D27&lt;&gt;"", IF('Lender Validation'!B59&lt;&gt;"",TRUE,FALSE),"n/a")</f>
        <v>n/a</v>
      </c>
      <c r="E60" s="83">
        <f>'Check Errors'!C39</f>
        <v>16</v>
      </c>
      <c r="F60" s="64" t="str">
        <f ca="1">IF('Check Errors'!F39&lt;&gt;"", IF('Check Errors'!G39&lt;&gt;"",TRUE,FALSE),"n/a")</f>
        <v>n/a</v>
      </c>
    </row>
    <row r="61" spans="2:6" x14ac:dyDescent="0.2">
      <c r="B61" s="62">
        <f>'Lender Validation'!C60</f>
        <v>17</v>
      </c>
      <c r="C61" s="64" t="str">
        <f>IF('Input-EWEMs'!D28&lt;&gt;"", IF('Lender Validation'!B60&lt;&gt;"",TRUE,FALSE),"n/a")</f>
        <v>n/a</v>
      </c>
      <c r="E61" s="83">
        <f>'Check Errors'!C40</f>
        <v>17</v>
      </c>
      <c r="F61" s="64" t="str">
        <f ca="1">IF('Check Errors'!F40&lt;&gt;"", IF('Check Errors'!G40&lt;&gt;"",TRUE,FALSE),"n/a")</f>
        <v>n/a</v>
      </c>
    </row>
    <row r="62" spans="2:6" x14ac:dyDescent="0.2">
      <c r="B62" s="62">
        <f>'Lender Validation'!C61</f>
        <v>18</v>
      </c>
      <c r="C62" s="64" t="str">
        <f>IF('Input-EWEMs'!D29&lt;&gt;"", IF('Lender Validation'!B61&lt;&gt;"",TRUE,FALSE),"n/a")</f>
        <v>n/a</v>
      </c>
      <c r="E62" s="83">
        <f>'Check Errors'!C41</f>
        <v>18</v>
      </c>
      <c r="F62" s="64" t="str">
        <f ca="1">IF('Check Errors'!F41&lt;&gt;"", IF('Check Errors'!G41&lt;&gt;"",TRUE,FALSE),"n/a")</f>
        <v>n/a</v>
      </c>
    </row>
    <row r="63" spans="2:6" x14ac:dyDescent="0.2">
      <c r="B63" s="62">
        <f>'Lender Validation'!C62</f>
        <v>19</v>
      </c>
      <c r="C63" s="64" t="str">
        <f>IF('Input-EWEMs'!D30&lt;&gt;"", IF('Lender Validation'!B62&lt;&gt;"",TRUE,FALSE),"n/a")</f>
        <v>n/a</v>
      </c>
      <c r="E63" s="83">
        <f>'Check Errors'!C42</f>
        <v>19</v>
      </c>
      <c r="F63" s="64" t="str">
        <f ca="1">IF('Check Errors'!F42&lt;&gt;"", IF('Check Errors'!G42&lt;&gt;"",TRUE,FALSE),"n/a")</f>
        <v>n/a</v>
      </c>
    </row>
    <row r="64" spans="2:6" x14ac:dyDescent="0.2">
      <c r="B64" s="62">
        <f>'Lender Validation'!C63</f>
        <v>20</v>
      </c>
      <c r="C64" s="64" t="str">
        <f>IF('Input-EWEMs'!D31&lt;&gt;"", IF('Lender Validation'!B63&lt;&gt;"",TRUE,FALSE),"n/a")</f>
        <v>n/a</v>
      </c>
      <c r="E64" s="83">
        <f>'Check Errors'!C43</f>
        <v>20</v>
      </c>
      <c r="F64" s="64" t="str">
        <f ca="1">IF('Check Errors'!F43&lt;&gt;"", IF('Check Errors'!G43&lt;&gt;"",TRUE,FALSE),"n/a")</f>
        <v>n/a</v>
      </c>
    </row>
    <row r="65" spans="2:6" x14ac:dyDescent="0.2">
      <c r="B65" s="62">
        <f>'Lender Validation'!C64</f>
        <v>21</v>
      </c>
      <c r="C65" s="64" t="str">
        <f>IF('Input-EWEMs'!D32&lt;&gt;"", IF('Lender Validation'!B64&lt;&gt;"",TRUE,FALSE),"n/a")</f>
        <v>n/a</v>
      </c>
      <c r="E65" s="83">
        <f>'Check Errors'!C44</f>
        <v>21</v>
      </c>
      <c r="F65" s="64" t="str">
        <f ca="1">IF('Check Errors'!F44&lt;&gt;"", IF('Check Errors'!G44&lt;&gt;"",TRUE,FALSE),"n/a")</f>
        <v>n/a</v>
      </c>
    </row>
    <row r="66" spans="2:6" x14ac:dyDescent="0.2">
      <c r="B66" s="62">
        <f>'Lender Validation'!C65</f>
        <v>22</v>
      </c>
      <c r="C66" s="64" t="str">
        <f>IF('Input-EWEMs'!D33&lt;&gt;"", IF('Lender Validation'!B65&lt;&gt;"",TRUE,FALSE),"n/a")</f>
        <v>n/a</v>
      </c>
      <c r="E66" s="83">
        <f>'Check Errors'!C45</f>
        <v>22</v>
      </c>
      <c r="F66" s="64" t="str">
        <f ca="1">IF('Check Errors'!F45&lt;&gt;"", IF('Check Errors'!G45&lt;&gt;"",TRUE,FALSE),"n/a")</f>
        <v>n/a</v>
      </c>
    </row>
    <row r="67" spans="2:6" x14ac:dyDescent="0.2">
      <c r="B67" s="62">
        <f>'Lender Validation'!C66</f>
        <v>23</v>
      </c>
      <c r="C67" s="64" t="str">
        <f>IF('Input-EWEMs'!D34&lt;&gt;"", IF('Lender Validation'!B66&lt;&gt;"",TRUE,FALSE),"n/a")</f>
        <v>n/a</v>
      </c>
      <c r="E67" s="83">
        <f>'Check Errors'!C46</f>
        <v>23</v>
      </c>
      <c r="F67" s="64" t="str">
        <f ca="1">IF('Check Errors'!F46&lt;&gt;"", IF('Check Errors'!G46&lt;&gt;"",TRUE,FALSE),"n/a")</f>
        <v>n/a</v>
      </c>
    </row>
    <row r="68" spans="2:6" x14ac:dyDescent="0.2">
      <c r="B68" s="62">
        <f>'Lender Validation'!C67</f>
        <v>24</v>
      </c>
      <c r="C68" s="64" t="str">
        <f>IF('Input-EWEMs'!D35&lt;&gt;"", IF('Lender Validation'!B67&lt;&gt;"",TRUE,FALSE),"n/a")</f>
        <v>n/a</v>
      </c>
      <c r="E68" s="83">
        <f>'Check Errors'!C47</f>
        <v>24</v>
      </c>
      <c r="F68" s="64" t="str">
        <f ca="1">IF('Check Errors'!F47&lt;&gt;"", IF('Check Errors'!G47&lt;&gt;"",TRUE,FALSE),"n/a")</f>
        <v>n/a</v>
      </c>
    </row>
    <row r="69" spans="2:6" x14ac:dyDescent="0.2">
      <c r="B69" s="62">
        <f>'Lender Validation'!C68</f>
        <v>25</v>
      </c>
      <c r="C69" s="64" t="str">
        <f>IF('Input-EWEMs'!D36&lt;&gt;"", IF('Lender Validation'!B68&lt;&gt;"",TRUE,FALSE),"n/a")</f>
        <v>n/a</v>
      </c>
      <c r="E69" s="83">
        <f>'Check Errors'!C48</f>
        <v>25</v>
      </c>
      <c r="F69" s="64" t="str">
        <f ca="1">IF('Check Errors'!F48&lt;&gt;"", IF('Check Errors'!G48&lt;&gt;"",TRUE,FALSE),"n/a")</f>
        <v>n/a</v>
      </c>
    </row>
    <row r="70" spans="2:6" x14ac:dyDescent="0.2">
      <c r="B70" s="62">
        <f>'Lender Validation'!C69</f>
        <v>26</v>
      </c>
      <c r="C70" s="64" t="str">
        <f>IF('Input-EWEMs'!D37&lt;&gt;"", IF('Lender Validation'!B69&lt;&gt;"",TRUE,FALSE),"n/a")</f>
        <v>n/a</v>
      </c>
      <c r="E70" s="83">
        <f>'Check Errors'!C49</f>
        <v>26</v>
      </c>
      <c r="F70" s="64" t="str">
        <f ca="1">IF('Check Errors'!F49&lt;&gt;"", IF('Check Errors'!G49&lt;&gt;"",TRUE,FALSE),"n/a")</f>
        <v>n/a</v>
      </c>
    </row>
    <row r="71" spans="2:6" x14ac:dyDescent="0.2">
      <c r="B71" s="62">
        <f>'Lender Validation'!C70</f>
        <v>27</v>
      </c>
      <c r="C71" s="64" t="str">
        <f>IF('Input-EWEMs'!D38&lt;&gt;"", IF('Lender Validation'!B70&lt;&gt;"",TRUE,FALSE),"n/a")</f>
        <v>n/a</v>
      </c>
      <c r="E71" s="83">
        <f>'Check Errors'!C50</f>
        <v>27</v>
      </c>
      <c r="F71" s="64" t="str">
        <f ca="1">IF('Check Errors'!F50&lt;&gt;"", IF('Check Errors'!G50&lt;&gt;"",TRUE,FALSE),"n/a")</f>
        <v>n/a</v>
      </c>
    </row>
    <row r="72" spans="2:6" x14ac:dyDescent="0.2">
      <c r="B72" s="62">
        <f>'Lender Validation'!C71</f>
        <v>28</v>
      </c>
      <c r="C72" s="64" t="str">
        <f>IF('Input-EWEMs'!D39&lt;&gt;"", IF('Lender Validation'!B71&lt;&gt;"",TRUE,FALSE),"n/a")</f>
        <v>n/a</v>
      </c>
      <c r="E72" s="83">
        <f>'Check Errors'!C51</f>
        <v>28</v>
      </c>
      <c r="F72" s="64" t="str">
        <f ca="1">IF('Check Errors'!F51&lt;&gt;"", IF('Check Errors'!G51&lt;&gt;"",TRUE,FALSE),"n/a")</f>
        <v>n/a</v>
      </c>
    </row>
    <row r="73" spans="2:6" x14ac:dyDescent="0.2">
      <c r="B73" s="62">
        <f>'Lender Validation'!C72</f>
        <v>29</v>
      </c>
      <c r="C73" s="64" t="str">
        <f>IF('Input-EWEMs'!D40&lt;&gt;"", IF('Lender Validation'!B72&lt;&gt;"",TRUE,FALSE),"n/a")</f>
        <v>n/a</v>
      </c>
      <c r="E73" s="83">
        <f>'Check Errors'!C52</f>
        <v>29</v>
      </c>
      <c r="F73" s="64" t="str">
        <f ca="1">IF('Check Errors'!F52&lt;&gt;"", IF('Check Errors'!G52&lt;&gt;"",TRUE,FALSE),"n/a")</f>
        <v>n/a</v>
      </c>
    </row>
    <row r="74" spans="2:6" x14ac:dyDescent="0.2">
      <c r="B74" s="62">
        <f>'Lender Validation'!C73</f>
        <v>30</v>
      </c>
      <c r="C74" s="64" t="str">
        <f>IF('Input-EWEMs'!D41&lt;&gt;"", IF('Lender Validation'!B73&lt;&gt;"",TRUE,FALSE),"n/a")</f>
        <v>n/a</v>
      </c>
      <c r="E74" s="83">
        <f>'Check Errors'!C53</f>
        <v>30</v>
      </c>
      <c r="F74" s="64" t="str">
        <f ca="1">IF('Check Errors'!F53&lt;&gt;"", IF('Check Errors'!G53&lt;&gt;"",TRUE,FALSE),"n/a")</f>
        <v>n/a</v>
      </c>
    </row>
    <row r="75" spans="2:6" x14ac:dyDescent="0.2">
      <c r="B75" s="27"/>
      <c r="C75" s="27"/>
      <c r="E75" s="60" t="s">
        <v>89</v>
      </c>
      <c r="F75" s="63" t="s">
        <v>702</v>
      </c>
    </row>
    <row r="76" spans="2:6" x14ac:dyDescent="0.2">
      <c r="E76" s="84" t="str">
        <f>'Check Errors'!E10</f>
        <v>Historical electricity cost and consumption</v>
      </c>
      <c r="F76" s="85" t="str">
        <f>IF('Check Errors'!F10&lt;&gt;"", IF('Check Errors'!G10&lt;&gt;"",TRUE,FALSE),"n/a")</f>
        <v>n/a</v>
      </c>
    </row>
    <row r="77" spans="2:6" x14ac:dyDescent="0.2">
      <c r="B77" s="73" t="s">
        <v>703</v>
      </c>
      <c r="C77" s="74" t="s">
        <v>704</v>
      </c>
      <c r="E77" s="86" t="str">
        <f>'Check Errors'!E11</f>
        <v>Historical fuel cost and consumption</v>
      </c>
      <c r="F77" s="64" t="str">
        <f>IF('Check Errors'!F11&lt;&gt;"", IF('Check Errors'!G11&lt;&gt;"",TRUE,FALSE),"n/a")</f>
        <v>n/a</v>
      </c>
    </row>
    <row r="78" spans="2:6" x14ac:dyDescent="0.2">
      <c r="B78" s="71">
        <f>'Input-Property'!D42</f>
        <v>129</v>
      </c>
      <c r="C78" s="72">
        <f>ROUND(IF('Input-Property'!D42&lt;20,3,IF('Input-Property'!D42&lt;50,5,IF('Input-Property'!D42&lt;100,'Input-Property'!D42*0.1,IF('Input-Property'!D42&lt;200,10,IF('Input-Property'!D42&lt;600,'Input-Property'!D42*0.05,30))))),0)</f>
        <v>10</v>
      </c>
      <c r="E78" s="86" t="str">
        <f>'Check Errors'!E12</f>
        <v>Historical water and sewer cost and consumption</v>
      </c>
      <c r="F78" s="64" t="str">
        <f>IF('Check Errors'!F12&lt;&gt;"", IF('Check Errors'!G12&lt;&gt;"",TRUE,FALSE),"n/a")</f>
        <v>n/a</v>
      </c>
    </row>
    <row r="79" spans="2:6" x14ac:dyDescent="0.2">
      <c r="E79" s="86" t="str">
        <f>'Check Errors'!E13</f>
        <v>Tenant utility cost</v>
      </c>
      <c r="F79" s="64" t="str">
        <f>IF('Check Errors'!F13&lt;&gt;"", IF('Check Errors'!G13&lt;&gt;"",TRUE,FALSE),"n/a")</f>
        <v>n/a</v>
      </c>
    </row>
    <row r="80" spans="2:6" x14ac:dyDescent="0.2">
      <c r="E80" s="86" t="str">
        <f>'Check Errors'!E14</f>
        <v>Tenant utility data and in-unit utilities</v>
      </c>
      <c r="F80" s="64" t="str">
        <f>IF('Check Errors'!F14&lt;&gt;"", IF('Check Errors'!G14&lt;&gt;"",TRUE,FALSE),"n/a")</f>
        <v>n/a</v>
      </c>
    </row>
    <row r="81" spans="2:6" x14ac:dyDescent="0.2">
      <c r="E81" s="86" t="str">
        <f>'Check Errors'!E15</f>
        <v>Seasonal energy consumption breakdown</v>
      </c>
      <c r="F81" s="64" t="str">
        <f>IF('Check Errors'!F15&lt;&gt;"", IF('Check Errors'!G15&lt;&gt;"",TRUE,FALSE),"n/a")</f>
        <v>n/a</v>
      </c>
    </row>
    <row r="82" spans="2:6" x14ac:dyDescent="0.2">
      <c r="E82" s="86" t="str">
        <f>'Check Errors'!E16</f>
        <v>Energy Star report</v>
      </c>
      <c r="F82" s="64" t="str">
        <f>IF('Check Errors'!F16&lt;&gt;"", IF('Check Errors'!G16&lt;&gt;"",TRUE,FALSE),"n/a")</f>
        <v>n/a</v>
      </c>
    </row>
    <row r="83" spans="2:6" x14ac:dyDescent="0.2">
      <c r="E83" s="86" t="str">
        <f>'Check Errors'!E17</f>
        <v>Property water consumption model</v>
      </c>
      <c r="F83" s="64" t="b">
        <f>IF('Check Errors'!F17&lt;&gt;"", IF('Check Errors'!G17&lt;&gt;"",TRUE,FALSE),"n/a")</f>
        <v>1</v>
      </c>
    </row>
    <row r="84" spans="2:6" x14ac:dyDescent="0.2">
      <c r="E84" s="86" t="str">
        <f>'Check Errors'!E18</f>
        <v>Total owner and tenant EWEM costs and savings</v>
      </c>
      <c r="F84" s="64" t="str">
        <f>IF('Check Errors'!F18&lt;&gt;"", IF('Check Errors'!G18&lt;&gt;"",TRUE,FALSE),"n/a")</f>
        <v>n/a</v>
      </c>
    </row>
    <row r="85" spans="2:6" x14ac:dyDescent="0.2">
      <c r="E85" s="87" t="str">
        <f>'Check Errors'!E19</f>
        <v>Electrification potential assessment</v>
      </c>
      <c r="F85" s="65" t="str">
        <f>IF('Check Errors'!F19&lt;&gt;"", IF('Check Errors'!G19&lt;&gt;"",TRUE,FALSE),"n/a")</f>
        <v>n/a</v>
      </c>
    </row>
    <row r="88" spans="2:6" ht="48" x14ac:dyDescent="0.2">
      <c r="B88" s="680" t="s">
        <v>705</v>
      </c>
      <c r="C88" s="680" t="s">
        <v>706</v>
      </c>
      <c r="D88" s="712" t="s">
        <v>707</v>
      </c>
      <c r="E88" s="712" t="s">
        <v>708</v>
      </c>
      <c r="F88" s="712" t="s">
        <v>709</v>
      </c>
    </row>
    <row r="89" spans="2:6" x14ac:dyDescent="0.2">
      <c r="B89" s="676" t="s">
        <v>710</v>
      </c>
      <c r="C89" s="676">
        <f>IFERROR('DB-Utilities'!L2/1000*$J$6,0)+IFERROR('DB-Utilities'!L3/1000*INDEX(Assumptions!$J$6:$J$17,MATCH('DB-Utilities'!B3,Assumptions!$B$6:$B$17,0)),0)+IFERROR('DB-Utilities'!L4/1000*INDEX(Assumptions!$J$6:$J$17,MATCH('DB-Utilities'!B4,Assumptions!$B$6:$B$17,0)),0)</f>
        <v>804619.26114899991</v>
      </c>
      <c r="D89" s="677">
        <f>IFERROR(('DB-Utilities'!L2-'Input-EWEMs'!$X$42)/1000*$J$6,0)+IFERROR(('DB-Utilities'!L3-'Input-EWEMs'!$Y$42)/1000*INDEX(Assumptions!$J$6:$J$17,MATCH('DB-Utilities'!B3,Assumptions!$B$6:$B$17,0)),0)+IFERROR(('DB-Utilities'!L4-'Input-EWEMs'!$Z$42)/1000*INDEX(Assumptions!$J$6:$J$17,MATCH('DB-Utilities'!B4,Assumptions!$B$6:$B$17,0)),0)</f>
        <v>81166.339134400085</v>
      </c>
      <c r="E89" s="677">
        <f>(D96-E96)/1000*$J$6+(D97-E97)/1000*$J$6+(D98-E98)*0.8/1000*$J$6</f>
        <v>131724.60913440006</v>
      </c>
      <c r="F89" s="677">
        <f>D96/1000*$J$6+D97/1000*$J$6+D98*0.8/1000*$J$6</f>
        <v>879776.14014899987</v>
      </c>
    </row>
    <row r="90" spans="2:6" x14ac:dyDescent="0.2">
      <c r="B90" s="678" t="s">
        <v>711</v>
      </c>
      <c r="C90" s="678">
        <f>IFERROR('DB-Utilities'!L2/1000*$J$6/0.8*0.2,0)+IFERROR('DB-Utilities'!L3/1000*INDEX(Assumptions!$J$6:$J$17,MATCH('DB-Utilities'!B3,Assumptions!$B$6:$B$17,0)),0)+IFERROR('DB-Utilities'!L4/1000*INDEX(Assumptions!$J$6:$J$17,MATCH('DB-Utilities'!B4,Assumptions!$B$6:$B$17,0)),0)</f>
        <v>288256.54303724994</v>
      </c>
      <c r="D90" s="679">
        <f>IFERROR(('DB-Utilities'!L2-'Input-EWEMs'!$X$42)/1000*$J$6/0.8*0.2,0)+IFERROR(('DB-Utilities'!L3-'Input-EWEMs'!$Y$42)/1000*INDEX(Assumptions!$J$6:$J$17,MATCH('DB-Utilities'!B3,Assumptions!$B$6:$B$17,0)),0)+IFERROR(('DB-Utilities'!L4-'Input-EWEMs'!$Z$42)/1000*INDEX(Assumptions!$J$6:$J$17,MATCH('DB-Utilities'!B4,Assumptions!$B$6:$B$17,0)),0)</f>
        <v>78885.192283600016</v>
      </c>
      <c r="E90" s="679">
        <f>(D96-E96)/1000*$J$6/0.8*0.2+(D97-E97)/1000*$J$6/0.8*0.2+(D98-E98)*0.8/1000*$J$6/0.8*0.2</f>
        <v>32931.152283600015</v>
      </c>
      <c r="F90" s="679">
        <f>'DB-Utilities'!L2/1000*$J$6/0.8*0.2+SUMIF('DB-Utilities'!B3:B4,"District*",'DB-Utilities'!L3:L4)/1000*$J$6/0.8*0.2+SUMIF('DB-Utilities'!B3:B4,"&lt;&gt;District*",'DB-Utilities'!L3:L4)*0.8/1000*$J$6/0.8*0.2</f>
        <v>219944.03503724997</v>
      </c>
    </row>
    <row r="91" spans="2:6" x14ac:dyDescent="0.2">
      <c r="B91" s="71" t="s">
        <v>712</v>
      </c>
      <c r="C91" s="71">
        <f>IFERROR('DB-Utilities'!L2/1000*0,0)+IFERROR('DB-Utilities'!L3/1000*INDEX(Assumptions!$J$6:$J$17,MATCH('DB-Utilities'!B3,Assumptions!$B$6:$B$17,0)),0)+IFERROR('DB-Utilities'!L4/1000*INDEX(Assumptions!$J$6:$J$17,MATCH('DB-Utilities'!B4,Assumptions!$B$6:$B$17,0)),0)</f>
        <v>116135.63699999999</v>
      </c>
      <c r="D91" s="675">
        <f>IFERROR(('DB-Utilities'!L2-'Input-EWEMs'!$X$42)/1000*$J$6*0,0)+IFERROR(('DB-Utilities'!L3-'Input-EWEMs'!$Y$42)/1000*INDEX(Assumptions!$J$6:$J$17,MATCH('DB-Utilities'!B3,Assumptions!$B$6:$B$17,0)),0)+IFERROR(('DB-Utilities'!L4-'Input-EWEMs'!$Z$42)/1000*INDEX(Assumptions!$J$6:$J$17,MATCH('DB-Utilities'!B4,Assumptions!$B$6:$B$17,0)),0)</f>
        <v>78124.81</v>
      </c>
      <c r="E91" s="675">
        <v>0</v>
      </c>
      <c r="F91" s="675">
        <v>0</v>
      </c>
    </row>
    <row r="92" spans="2:6" x14ac:dyDescent="0.2">
      <c r="E92" t="s">
        <v>713</v>
      </c>
    </row>
    <row r="94" spans="2:6" x14ac:dyDescent="0.2">
      <c r="B94" s="711" t="s">
        <v>714</v>
      </c>
    </row>
    <row r="95" spans="2:6" ht="32" x14ac:dyDescent="0.2">
      <c r="D95" s="1" t="s">
        <v>715</v>
      </c>
      <c r="E95" s="1" t="s">
        <v>716</v>
      </c>
      <c r="F95" s="1" t="s">
        <v>717</v>
      </c>
    </row>
    <row r="96" spans="2:6" x14ac:dyDescent="0.2">
      <c r="C96" s="709" t="s">
        <v>117</v>
      </c>
      <c r="D96" s="711">
        <f>'DB-Utilities'!L2</f>
        <v>6296146.54</v>
      </c>
      <c r="E96" s="711">
        <f>SUM('DB-EWEM'!S2:S31)</f>
        <v>6268331.9159999993</v>
      </c>
      <c r="F96" s="711">
        <f>D96-E96</f>
        <v>27814.624000000767</v>
      </c>
    </row>
    <row r="97" spans="3:7" x14ac:dyDescent="0.2">
      <c r="C97" s="709" t="s">
        <v>718</v>
      </c>
      <c r="D97" s="711">
        <f>SUMIF('DB-Utilities'!B3:B4,"District*",'DB-Utilities'!L3:L4)</f>
        <v>0</v>
      </c>
      <c r="E97" s="711">
        <f>SUM('DB-EWEM'!X2:X31,'DB-EWEM'!Z2:AA31)</f>
        <v>0</v>
      </c>
      <c r="F97" s="711">
        <f>D97-E97</f>
        <v>0</v>
      </c>
    </row>
    <row r="98" spans="3:7" x14ac:dyDescent="0.2">
      <c r="C98" s="709" t="s">
        <v>719</v>
      </c>
      <c r="D98" s="711">
        <f>SUMIF('DB-Utilities'!B3:B4,"&lt;&gt;District*",'DB-Utilities'!L3:L4)</f>
        <v>2186700</v>
      </c>
      <c r="E98" s="711">
        <f>SUM('DB-EWEM'!T2:W31,'DB-EWEM'!Y2:Y31,'DB-EWEM'!AB2:AB31)</f>
        <v>715700</v>
      </c>
      <c r="F98" s="711">
        <f>D98-E98</f>
        <v>1471000</v>
      </c>
    </row>
    <row r="99" spans="3:7" x14ac:dyDescent="0.2">
      <c r="C99" s="709" t="s">
        <v>64</v>
      </c>
      <c r="D99" s="711">
        <f>SUM(D96:D98)</f>
        <v>8482846.5399999991</v>
      </c>
      <c r="E99" s="711">
        <f>SUM(E96:E98)</f>
        <v>6984031.9159999993</v>
      </c>
      <c r="F99" s="711">
        <f>SUM(F96:F98)</f>
        <v>1498814.6240000008</v>
      </c>
      <c r="G99" s="711"/>
    </row>
    <row r="100" spans="3:7" x14ac:dyDescent="0.2">
      <c r="D100" s="709"/>
      <c r="F100" s="711"/>
    </row>
    <row r="101" spans="3:7" x14ac:dyDescent="0.2">
      <c r="D101" s="709"/>
      <c r="F101" s="711"/>
    </row>
    <row r="102" spans="3:7" x14ac:dyDescent="0.2">
      <c r="D102" s="709"/>
      <c r="F102" s="711"/>
    </row>
    <row r="103" spans="3:7" x14ac:dyDescent="0.2">
      <c r="D103" s="709"/>
      <c r="F103" s="711"/>
    </row>
    <row r="104" spans="3:7" x14ac:dyDescent="0.2">
      <c r="D104" s="709"/>
      <c r="F104" s="711"/>
    </row>
    <row r="105" spans="3:7" x14ac:dyDescent="0.2">
      <c r="D105" s="709"/>
      <c r="F105" s="711"/>
    </row>
    <row r="106" spans="3:7" x14ac:dyDescent="0.2">
      <c r="D106" s="709"/>
      <c r="F106" s="711"/>
    </row>
    <row r="107" spans="3:7" x14ac:dyDescent="0.2">
      <c r="D107" s="709"/>
      <c r="F107" s="711"/>
    </row>
    <row r="108" spans="3:7" x14ac:dyDescent="0.2">
      <c r="D108" s="709"/>
      <c r="F108" s="711"/>
    </row>
    <row r="109" spans="3:7" x14ac:dyDescent="0.2">
      <c r="D109" s="709"/>
      <c r="F109" s="711"/>
    </row>
    <row r="110" spans="3:7" x14ac:dyDescent="0.2">
      <c r="D110" s="709"/>
      <c r="F110" s="711"/>
    </row>
    <row r="111" spans="3:7" x14ac:dyDescent="0.2">
      <c r="D111" s="709"/>
      <c r="F111" s="711"/>
    </row>
  </sheetData>
  <mergeCells count="7">
    <mergeCell ref="B39:D39"/>
    <mergeCell ref="B40:D40"/>
    <mergeCell ref="E36:F36"/>
    <mergeCell ref="G36:H36"/>
    <mergeCell ref="B36:D36"/>
    <mergeCell ref="B37:D37"/>
    <mergeCell ref="B38:D38"/>
  </mergeCells>
  <pageMargins left="0.7" right="0.7" top="0.75" bottom="0.75" header="0.3" footer="0.3"/>
  <pageSetup orientation="portrait" r:id="rId1"/>
  <headerFooter>
    <oddFooter>&amp;L_x000D_&amp;1#&amp;"Calibri"&amp;10&amp;K000000 Fannie Mae Confidential&amp;CConfidential - Internal Distribution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8"/>
  <dimension ref="A1:T79"/>
  <sheetViews>
    <sheetView topLeftCell="H1" zoomScaleNormal="100" workbookViewId="0">
      <selection activeCell="S11" sqref="S11"/>
    </sheetView>
  </sheetViews>
  <sheetFormatPr baseColWidth="10" defaultColWidth="8.83203125" defaultRowHeight="15" x14ac:dyDescent="0.2"/>
  <cols>
    <col min="2" max="2" width="13.5" style="15" customWidth="1"/>
    <col min="3" max="4" width="20.5" style="15" customWidth="1"/>
    <col min="5" max="5" width="15.33203125" style="15" customWidth="1"/>
    <col min="6" max="6" width="14.33203125" style="15" customWidth="1"/>
    <col min="7" max="7" width="17.5" style="15" customWidth="1"/>
    <col min="8" max="8" width="20" style="15" customWidth="1"/>
    <col min="9" max="9" width="20.33203125" style="15" customWidth="1"/>
    <col min="18" max="18" width="15.1640625" customWidth="1"/>
    <col min="19" max="19" width="12" customWidth="1"/>
  </cols>
  <sheetData>
    <row r="1" spans="1:20" x14ac:dyDescent="0.2">
      <c r="A1" s="15" t="s">
        <v>720</v>
      </c>
    </row>
    <row r="2" spans="1:20" s="3" customFormat="1" ht="29" x14ac:dyDescent="0.2">
      <c r="B2" s="36" t="s">
        <v>721</v>
      </c>
      <c r="C2" s="36" t="s">
        <v>722</v>
      </c>
      <c r="D2" s="36" t="s">
        <v>723</v>
      </c>
      <c r="E2" s="38" t="s">
        <v>724</v>
      </c>
      <c r="F2" s="36" t="s">
        <v>725</v>
      </c>
      <c r="G2" s="37" t="s">
        <v>726</v>
      </c>
      <c r="H2" s="37" t="s">
        <v>727</v>
      </c>
      <c r="I2" s="37" t="s">
        <v>728</v>
      </c>
      <c r="J2" s="3" t="s">
        <v>729</v>
      </c>
      <c r="L2" s="37" t="s">
        <v>730</v>
      </c>
      <c r="M2" s="37"/>
      <c r="N2" s="37" t="s">
        <v>375</v>
      </c>
      <c r="O2" s="3" t="s">
        <v>731</v>
      </c>
      <c r="P2" s="3" t="s">
        <v>732</v>
      </c>
      <c r="Q2" s="3" t="s">
        <v>733</v>
      </c>
      <c r="R2" s="3" t="s">
        <v>734</v>
      </c>
      <c r="S2" s="3" t="s">
        <v>735</v>
      </c>
      <c r="T2" s="3" t="s">
        <v>736</v>
      </c>
    </row>
    <row r="3" spans="1:20" x14ac:dyDescent="0.2">
      <c r="B3" s="15" t="s">
        <v>737</v>
      </c>
      <c r="C3" s="15" t="s">
        <v>738</v>
      </c>
      <c r="D3" s="15" t="s">
        <v>739</v>
      </c>
      <c r="E3" s="15" t="s">
        <v>666</v>
      </c>
      <c r="F3" s="15" t="s">
        <v>683</v>
      </c>
      <c r="G3" s="34" t="s">
        <v>740</v>
      </c>
      <c r="H3" s="34" t="s">
        <v>119</v>
      </c>
      <c r="I3" t="s">
        <v>741</v>
      </c>
      <c r="J3">
        <v>1</v>
      </c>
      <c r="K3" t="s">
        <v>742</v>
      </c>
      <c r="L3" s="43"/>
      <c r="M3" s="43"/>
      <c r="N3" t="s">
        <v>743</v>
      </c>
      <c r="O3" t="s">
        <v>744</v>
      </c>
      <c r="P3" t="s">
        <v>279</v>
      </c>
      <c r="Q3" t="s">
        <v>745</v>
      </c>
      <c r="R3" s="18" t="s">
        <v>746</v>
      </c>
      <c r="S3" t="s">
        <v>747</v>
      </c>
      <c r="T3" t="s">
        <v>748</v>
      </c>
    </row>
    <row r="4" spans="1:20" x14ac:dyDescent="0.2">
      <c r="B4" s="15" t="s">
        <v>749</v>
      </c>
      <c r="C4" s="15" t="s">
        <v>750</v>
      </c>
      <c r="D4" s="15" t="s">
        <v>751</v>
      </c>
      <c r="E4" s="15" t="s">
        <v>667</v>
      </c>
      <c r="F4" s="15" t="s">
        <v>623</v>
      </c>
      <c r="G4" s="34" t="s">
        <v>752</v>
      </c>
      <c r="H4" s="34" t="s">
        <v>124</v>
      </c>
      <c r="I4" t="s">
        <v>753</v>
      </c>
      <c r="J4">
        <v>2</v>
      </c>
      <c r="K4" t="s">
        <v>754</v>
      </c>
      <c r="L4" s="43">
        <f>IF('Input-EWEMs'!D12="","",IF(COUNTIF('Input-EWEMs'!C$52:C$61,'Input-EWEMs'!C12)&lt;1,'Input-EWEMs'!C12,""))</f>
        <v>1</v>
      </c>
      <c r="M4" s="43">
        <f>IFERROR(SMALL($L$3:$L$33,ROW(L3)-ROW($L$3)+1),"")</f>
        <v>1</v>
      </c>
      <c r="N4" t="s">
        <v>755</v>
      </c>
      <c r="O4" t="s">
        <v>756</v>
      </c>
      <c r="P4" s="43" t="s">
        <v>117</v>
      </c>
      <c r="Q4" t="s">
        <v>757</v>
      </c>
      <c r="R4" s="18" t="s">
        <v>758</v>
      </c>
      <c r="S4" t="s">
        <v>759</v>
      </c>
      <c r="T4" t="s">
        <v>760</v>
      </c>
    </row>
    <row r="5" spans="1:20" x14ac:dyDescent="0.2">
      <c r="B5" s="15" t="s">
        <v>279</v>
      </c>
      <c r="C5" s="15" t="s">
        <v>761</v>
      </c>
      <c r="D5" s="39" t="s">
        <v>762</v>
      </c>
      <c r="E5" s="15" t="s">
        <v>668</v>
      </c>
      <c r="F5" s="15" t="s">
        <v>684</v>
      </c>
      <c r="G5" s="34" t="s">
        <v>763</v>
      </c>
      <c r="H5" s="34" t="s">
        <v>121</v>
      </c>
      <c r="I5" t="s">
        <v>764</v>
      </c>
      <c r="J5">
        <v>3</v>
      </c>
      <c r="K5" t="s">
        <v>765</v>
      </c>
      <c r="L5" s="43">
        <f>IF('Input-EWEMs'!D13="","",IF(COUNTIF('Input-EWEMs'!C$52:C$61,'Input-EWEMs'!C13)&lt;1,'Input-EWEMs'!C13,""))</f>
        <v>2</v>
      </c>
      <c r="M5" s="43">
        <f t="shared" ref="M5:M33" si="0">IFERROR(SMALL($L$3:$L$33,ROW(L4)-ROW($L$3)+1),"")</f>
        <v>2</v>
      </c>
      <c r="N5" t="s">
        <v>766</v>
      </c>
      <c r="O5" t="s">
        <v>767</v>
      </c>
      <c r="P5" s="43" t="str">
        <f>IF(AND('Input-Utilities'!C11&lt;&gt;"n/a",'Input-Utilities'!C11&lt;&gt;""), 'Input-Utilities'!C11, "")</f>
        <v>Natural Gas</v>
      </c>
      <c r="Q5" t="s">
        <v>313</v>
      </c>
      <c r="R5" s="18" t="s">
        <v>768</v>
      </c>
      <c r="S5" t="s">
        <v>774</v>
      </c>
      <c r="T5" t="s">
        <v>769</v>
      </c>
    </row>
    <row r="6" spans="1:20" x14ac:dyDescent="0.2">
      <c r="C6" s="15" t="s">
        <v>770</v>
      </c>
      <c r="D6" s="15" t="s">
        <v>771</v>
      </c>
      <c r="E6" s="15" t="s">
        <v>669</v>
      </c>
      <c r="F6" s="15" t="s">
        <v>685</v>
      </c>
      <c r="G6" s="34" t="s">
        <v>279</v>
      </c>
      <c r="H6" s="15" t="s">
        <v>122</v>
      </c>
      <c r="I6" t="s">
        <v>772</v>
      </c>
      <c r="L6" s="43">
        <f>IF('Input-EWEMs'!D14="","",IF(COUNTIF('Input-EWEMs'!C$52:C$61,'Input-EWEMs'!C14)&lt;1,'Input-EWEMs'!C14,""))</f>
        <v>3</v>
      </c>
      <c r="M6" s="43">
        <f t="shared" si="0"/>
        <v>3</v>
      </c>
      <c r="O6" t="s">
        <v>773</v>
      </c>
      <c r="P6" s="43" t="str">
        <f>IF(AND('Input-Utilities'!C12&lt;&gt;"n/a",'Input-Utilities'!C12&lt;&gt;""), 'Input-Utilities'!C12, "")</f>
        <v/>
      </c>
      <c r="R6" s="18" t="s">
        <v>313</v>
      </c>
      <c r="S6" t="s">
        <v>778</v>
      </c>
      <c r="T6" t="s">
        <v>775</v>
      </c>
    </row>
    <row r="7" spans="1:20" x14ac:dyDescent="0.2">
      <c r="C7" s="15" t="s">
        <v>279</v>
      </c>
      <c r="D7" s="15" t="s">
        <v>279</v>
      </c>
      <c r="E7" s="15" t="s">
        <v>670</v>
      </c>
      <c r="H7" s="15" t="s">
        <v>123</v>
      </c>
      <c r="I7" t="s">
        <v>776</v>
      </c>
      <c r="L7" s="43">
        <f>IF('Input-EWEMs'!D15="","",IF(COUNTIF('Input-EWEMs'!C$52:C$61,'Input-EWEMs'!C15)&lt;1,'Input-EWEMs'!C15,""))</f>
        <v>4</v>
      </c>
      <c r="M7" s="43">
        <f t="shared" si="0"/>
        <v>4</v>
      </c>
      <c r="O7" t="s">
        <v>777</v>
      </c>
      <c r="S7" t="s">
        <v>785</v>
      </c>
      <c r="T7" t="s">
        <v>779</v>
      </c>
    </row>
    <row r="8" spans="1:20" x14ac:dyDescent="0.2">
      <c r="D8" s="15" t="s">
        <v>780</v>
      </c>
      <c r="E8" s="15" t="s">
        <v>671</v>
      </c>
      <c r="H8" s="34" t="s">
        <v>125</v>
      </c>
      <c r="I8" t="s">
        <v>781</v>
      </c>
      <c r="L8" s="43">
        <f>IF('Input-EWEMs'!D16="","",IF(COUNTIF('Input-EWEMs'!C$52:C$61,'Input-EWEMs'!C16)&lt;1,'Input-EWEMs'!C16,""))</f>
        <v>5</v>
      </c>
      <c r="M8" s="43">
        <f t="shared" si="0"/>
        <v>5</v>
      </c>
      <c r="O8" t="s">
        <v>313</v>
      </c>
      <c r="S8" t="s">
        <v>788</v>
      </c>
      <c r="T8" t="s">
        <v>782</v>
      </c>
    </row>
    <row r="9" spans="1:20" x14ac:dyDescent="0.2">
      <c r="D9" s="15" t="s">
        <v>783</v>
      </c>
      <c r="E9" s="15" t="s">
        <v>672</v>
      </c>
      <c r="H9" s="15" t="s">
        <v>675</v>
      </c>
      <c r="I9" t="s">
        <v>784</v>
      </c>
      <c r="L9" s="43">
        <f>IF('Input-EWEMs'!D17="","",IF(COUNTIF('Input-EWEMs'!C$52:C$61,'Input-EWEMs'!C17)&lt;1,'Input-EWEMs'!C17,""))</f>
        <v>6</v>
      </c>
      <c r="M9" s="43">
        <f t="shared" si="0"/>
        <v>6</v>
      </c>
      <c r="S9" t="s">
        <v>793</v>
      </c>
      <c r="T9" t="s">
        <v>786</v>
      </c>
    </row>
    <row r="10" spans="1:20" x14ac:dyDescent="0.2">
      <c r="E10" s="15" t="s">
        <v>673</v>
      </c>
      <c r="H10" s="15" t="s">
        <v>678</v>
      </c>
      <c r="I10" t="s">
        <v>787</v>
      </c>
      <c r="L10" s="43">
        <f>IF('Input-EWEMs'!D18="","",IF(COUNTIF('Input-EWEMs'!C$52:C$61,'Input-EWEMs'!C18)&lt;1,'Input-EWEMs'!C18,""))</f>
        <v>7</v>
      </c>
      <c r="M10" s="43">
        <f t="shared" si="0"/>
        <v>7</v>
      </c>
      <c r="S10" t="s">
        <v>796</v>
      </c>
      <c r="T10" t="s">
        <v>789</v>
      </c>
    </row>
    <row r="11" spans="1:20" s="1" customFormat="1" ht="16" x14ac:dyDescent="0.2">
      <c r="B11" s="35"/>
      <c r="C11" s="35"/>
      <c r="E11" s="15" t="s">
        <v>676</v>
      </c>
      <c r="F11" s="35"/>
      <c r="G11" s="35"/>
      <c r="H11" s="1" t="s">
        <v>313</v>
      </c>
      <c r="I11" t="s">
        <v>790</v>
      </c>
      <c r="L11" s="43">
        <f>IF('Input-EWEMs'!D19="","",IF(COUNTIF('Input-EWEMs'!C$52:C$61,'Input-EWEMs'!C19)&lt;1,'Input-EWEMs'!C19,""))</f>
        <v>8</v>
      </c>
      <c r="M11" s="43">
        <f t="shared" si="0"/>
        <v>8</v>
      </c>
      <c r="S11" t="s">
        <v>313</v>
      </c>
      <c r="T11" s="1" t="s">
        <v>791</v>
      </c>
    </row>
    <row r="12" spans="1:20" x14ac:dyDescent="0.2">
      <c r="E12" s="15" t="s">
        <v>679</v>
      </c>
      <c r="H12" s="34" t="s">
        <v>279</v>
      </c>
      <c r="I12" t="s">
        <v>792</v>
      </c>
      <c r="L12" s="43">
        <f>IF('Input-EWEMs'!D20="","",IF(COUNTIF('Input-EWEMs'!C$52:C$61,'Input-EWEMs'!C20)&lt;1,'Input-EWEMs'!C20,""))</f>
        <v>9</v>
      </c>
      <c r="M12" s="43">
        <f t="shared" si="0"/>
        <v>9</v>
      </c>
      <c r="T12" t="s">
        <v>794</v>
      </c>
    </row>
    <row r="13" spans="1:20" x14ac:dyDescent="0.2">
      <c r="E13" s="15" t="s">
        <v>279</v>
      </c>
      <c r="I13" t="s">
        <v>795</v>
      </c>
      <c r="L13" s="43">
        <f>IF('Input-EWEMs'!D21="","",IF(COUNTIF('Input-EWEMs'!C$52:C$61,'Input-EWEMs'!C21)&lt;1,'Input-EWEMs'!C21,""))</f>
        <v>10</v>
      </c>
      <c r="M13" s="43">
        <f t="shared" si="0"/>
        <v>10</v>
      </c>
      <c r="R13" s="14"/>
      <c r="T13" t="s">
        <v>797</v>
      </c>
    </row>
    <row r="14" spans="1:20" x14ac:dyDescent="0.2">
      <c r="I14" t="s">
        <v>798</v>
      </c>
      <c r="L14" s="43">
        <f>IF('Input-EWEMs'!D22="","",IF(COUNTIF('Input-EWEMs'!C$52:C$61,'Input-EWEMs'!C22)&lt;1,'Input-EWEMs'!C22,""))</f>
        <v>11</v>
      </c>
      <c r="M14" s="43">
        <f t="shared" si="0"/>
        <v>11</v>
      </c>
      <c r="R14" s="14"/>
      <c r="T14" t="s">
        <v>799</v>
      </c>
    </row>
    <row r="15" spans="1:20" x14ac:dyDescent="0.2">
      <c r="I15" t="s">
        <v>800</v>
      </c>
      <c r="L15" s="43">
        <f>IF('Input-EWEMs'!D23="","",IF(COUNTIF('Input-EWEMs'!C$52:C$61,'Input-EWEMs'!C23)&lt;1,'Input-EWEMs'!C23,""))</f>
        <v>12</v>
      </c>
      <c r="M15" s="43">
        <f t="shared" si="0"/>
        <v>12</v>
      </c>
      <c r="T15" t="s">
        <v>801</v>
      </c>
    </row>
    <row r="16" spans="1:20" x14ac:dyDescent="0.2">
      <c r="I16" t="s">
        <v>802</v>
      </c>
      <c r="L16" s="43">
        <f>IF('Input-EWEMs'!D24="","",IF(COUNTIF('Input-EWEMs'!C$52:C$61,'Input-EWEMs'!C24)&lt;1,'Input-EWEMs'!C24,""))</f>
        <v>13</v>
      </c>
      <c r="M16" s="43">
        <f t="shared" si="0"/>
        <v>13</v>
      </c>
      <c r="T16" t="s">
        <v>803</v>
      </c>
    </row>
    <row r="17" spans="9:20" x14ac:dyDescent="0.2">
      <c r="I17" t="s">
        <v>804</v>
      </c>
      <c r="L17" s="43">
        <f>IF('Input-EWEMs'!D25="","",IF(COUNTIF('Input-EWEMs'!C$52:C$61,'Input-EWEMs'!C25)&lt;1,'Input-EWEMs'!C25,""))</f>
        <v>14</v>
      </c>
      <c r="M17" s="43">
        <f t="shared" si="0"/>
        <v>14</v>
      </c>
      <c r="T17" t="s">
        <v>805</v>
      </c>
    </row>
    <row r="18" spans="9:20" x14ac:dyDescent="0.2">
      <c r="I18" t="s">
        <v>806</v>
      </c>
      <c r="L18" s="43">
        <f>IF('Input-EWEMs'!D26="","",IF(COUNTIF('Input-EWEMs'!C$52:C$61,'Input-EWEMs'!C26)&lt;1,'Input-EWEMs'!C26,""))</f>
        <v>15</v>
      </c>
      <c r="M18" s="43">
        <f t="shared" si="0"/>
        <v>15</v>
      </c>
      <c r="T18" t="s">
        <v>807</v>
      </c>
    </row>
    <row r="19" spans="9:20" x14ac:dyDescent="0.2">
      <c r="I19" t="s">
        <v>808</v>
      </c>
      <c r="L19" s="43" t="str">
        <f>IF('Input-EWEMs'!D27="","",IF(COUNTIF('Input-EWEMs'!C$52:C$61,'Input-EWEMs'!C27)&lt;1,'Input-EWEMs'!C27,""))</f>
        <v/>
      </c>
      <c r="M19" s="43" t="str">
        <f t="shared" si="0"/>
        <v/>
      </c>
      <c r="T19" t="s">
        <v>809</v>
      </c>
    </row>
    <row r="20" spans="9:20" x14ac:dyDescent="0.2">
      <c r="I20" t="s">
        <v>810</v>
      </c>
      <c r="L20" s="43" t="str">
        <f>IF('Input-EWEMs'!D28="","",IF(COUNTIF('Input-EWEMs'!C$52:C$61,'Input-EWEMs'!C28)&lt;1,'Input-EWEMs'!C28,""))</f>
        <v/>
      </c>
      <c r="M20" s="43" t="str">
        <f t="shared" si="0"/>
        <v/>
      </c>
      <c r="T20" t="s">
        <v>811</v>
      </c>
    </row>
    <row r="21" spans="9:20" x14ac:dyDescent="0.2">
      <c r="I21" t="s">
        <v>812</v>
      </c>
      <c r="L21" s="43" t="str">
        <f>IF('Input-EWEMs'!D29="","",IF(COUNTIF('Input-EWEMs'!C$52:C$61,'Input-EWEMs'!C29)&lt;1,'Input-EWEMs'!C29,""))</f>
        <v/>
      </c>
      <c r="M21" s="43" t="str">
        <f t="shared" si="0"/>
        <v/>
      </c>
      <c r="T21" t="s">
        <v>813</v>
      </c>
    </row>
    <row r="22" spans="9:20" x14ac:dyDescent="0.2">
      <c r="I22" t="s">
        <v>814</v>
      </c>
      <c r="L22" s="43" t="str">
        <f>IF('Input-EWEMs'!D30="","",IF(COUNTIF('Input-EWEMs'!C$52:C$61,'Input-EWEMs'!C30)&lt;1,'Input-EWEMs'!C30,""))</f>
        <v/>
      </c>
      <c r="M22" s="43" t="str">
        <f t="shared" si="0"/>
        <v/>
      </c>
      <c r="T22" t="s">
        <v>815</v>
      </c>
    </row>
    <row r="23" spans="9:20" x14ac:dyDescent="0.2">
      <c r="I23" t="s">
        <v>816</v>
      </c>
      <c r="L23" s="43" t="str">
        <f>IF('Input-EWEMs'!D31="","",IF(COUNTIF('Input-EWEMs'!C$52:C$61,'Input-EWEMs'!C31)&lt;1,'Input-EWEMs'!C31,""))</f>
        <v/>
      </c>
      <c r="M23" s="43" t="str">
        <f t="shared" si="0"/>
        <v/>
      </c>
      <c r="T23" t="s">
        <v>817</v>
      </c>
    </row>
    <row r="24" spans="9:20" x14ac:dyDescent="0.2">
      <c r="I24" t="s">
        <v>818</v>
      </c>
      <c r="L24" s="43" t="str">
        <f>IF('Input-EWEMs'!D32="","",IF(COUNTIF('Input-EWEMs'!C$52:C$61,'Input-EWEMs'!C32)&lt;1,'Input-EWEMs'!C32,""))</f>
        <v/>
      </c>
      <c r="M24" s="43" t="str">
        <f t="shared" si="0"/>
        <v/>
      </c>
      <c r="T24" t="s">
        <v>819</v>
      </c>
    </row>
    <row r="25" spans="9:20" x14ac:dyDescent="0.2">
      <c r="I25" t="s">
        <v>820</v>
      </c>
      <c r="L25" s="43" t="str">
        <f>IF('Input-EWEMs'!D33="","",IF(COUNTIF('Input-EWEMs'!C$52:C$61,'Input-EWEMs'!C33)&lt;1,'Input-EWEMs'!C33,""))</f>
        <v/>
      </c>
      <c r="M25" s="43" t="str">
        <f t="shared" si="0"/>
        <v/>
      </c>
      <c r="T25" t="s">
        <v>821</v>
      </c>
    </row>
    <row r="26" spans="9:20" x14ac:dyDescent="0.2">
      <c r="I26" s="15" t="s">
        <v>822</v>
      </c>
      <c r="L26" s="43" t="str">
        <f>IF('Input-EWEMs'!D34="","",IF(COUNTIF('Input-EWEMs'!C$52:C$61,'Input-EWEMs'!C34)&lt;1,'Input-EWEMs'!C34,""))</f>
        <v/>
      </c>
      <c r="M26" s="43" t="str">
        <f t="shared" si="0"/>
        <v/>
      </c>
      <c r="T26" t="s">
        <v>823</v>
      </c>
    </row>
    <row r="27" spans="9:20" x14ac:dyDescent="0.2">
      <c r="I27" t="s">
        <v>824</v>
      </c>
      <c r="L27" s="43" t="str">
        <f>IF('Input-EWEMs'!D35="","",IF(COUNTIF('Input-EWEMs'!C$52:C$61,'Input-EWEMs'!C35)&lt;1,'Input-EWEMs'!C35,""))</f>
        <v/>
      </c>
      <c r="M27" s="43" t="str">
        <f t="shared" si="0"/>
        <v/>
      </c>
      <c r="T27" t="s">
        <v>825</v>
      </c>
    </row>
    <row r="28" spans="9:20" x14ac:dyDescent="0.2">
      <c r="I28" t="s">
        <v>826</v>
      </c>
      <c r="L28" s="43" t="str">
        <f>IF('Input-EWEMs'!D36="","",IF(COUNTIF('Input-EWEMs'!C$52:C$61,'Input-EWEMs'!C36)&lt;1,'Input-EWEMs'!C36,""))</f>
        <v/>
      </c>
      <c r="M28" s="43" t="str">
        <f t="shared" si="0"/>
        <v/>
      </c>
      <c r="T28" t="s">
        <v>827</v>
      </c>
    </row>
    <row r="29" spans="9:20" x14ac:dyDescent="0.2">
      <c r="I29" t="s">
        <v>828</v>
      </c>
      <c r="L29" s="43" t="str">
        <f>IF('Input-EWEMs'!D37="","",IF(COUNTIF('Input-EWEMs'!C$52:C$61,'Input-EWEMs'!C37)&lt;1,'Input-EWEMs'!C37,""))</f>
        <v/>
      </c>
      <c r="M29" s="43" t="str">
        <f t="shared" si="0"/>
        <v/>
      </c>
      <c r="T29" t="s">
        <v>829</v>
      </c>
    </row>
    <row r="30" spans="9:20" x14ac:dyDescent="0.2">
      <c r="I30" t="s">
        <v>830</v>
      </c>
      <c r="L30" s="43" t="str">
        <f>IF('Input-EWEMs'!D38="","",IF(COUNTIF('Input-EWEMs'!C$52:C$61,'Input-EWEMs'!C38)&lt;1,'Input-EWEMs'!C38,""))</f>
        <v/>
      </c>
      <c r="M30" s="43" t="str">
        <f t="shared" si="0"/>
        <v/>
      </c>
      <c r="T30" t="s">
        <v>831</v>
      </c>
    </row>
    <row r="31" spans="9:20" x14ac:dyDescent="0.2">
      <c r="I31" t="s">
        <v>832</v>
      </c>
      <c r="L31" s="43" t="str">
        <f>IF('Input-EWEMs'!D39="","",IF(COUNTIF('Input-EWEMs'!C$52:C$61,'Input-EWEMs'!C39)&lt;1,'Input-EWEMs'!C39,""))</f>
        <v/>
      </c>
      <c r="M31" s="43" t="str">
        <f t="shared" si="0"/>
        <v/>
      </c>
      <c r="T31" t="s">
        <v>833</v>
      </c>
    </row>
    <row r="32" spans="9:20" x14ac:dyDescent="0.2">
      <c r="I32" t="s">
        <v>834</v>
      </c>
      <c r="L32" s="43" t="str">
        <f>IF('Input-EWEMs'!D40="","",IF(COUNTIF('Input-EWEMs'!C$52:C$61,'Input-EWEMs'!C40)&lt;1,'Input-EWEMs'!C40,""))</f>
        <v/>
      </c>
      <c r="M32" s="43" t="str">
        <f t="shared" si="0"/>
        <v/>
      </c>
      <c r="T32" t="s">
        <v>835</v>
      </c>
    </row>
    <row r="33" spans="9:20" x14ac:dyDescent="0.2">
      <c r="I33" t="s">
        <v>836</v>
      </c>
      <c r="L33" s="43" t="str">
        <f>IF('Input-EWEMs'!D41="","",IF(COUNTIF('Input-EWEMs'!C$52:C$61,'Input-EWEMs'!C41)&lt;1,'Input-EWEMs'!C41,""))</f>
        <v/>
      </c>
      <c r="M33" s="43" t="str">
        <f t="shared" si="0"/>
        <v/>
      </c>
      <c r="T33" t="s">
        <v>837</v>
      </c>
    </row>
    <row r="34" spans="9:20" x14ac:dyDescent="0.2">
      <c r="I34" t="s">
        <v>838</v>
      </c>
      <c r="T34" t="s">
        <v>839</v>
      </c>
    </row>
    <row r="35" spans="9:20" x14ac:dyDescent="0.2">
      <c r="I35" s="15" t="s">
        <v>313</v>
      </c>
      <c r="T35" t="s">
        <v>840</v>
      </c>
    </row>
    <row r="36" spans="9:20" x14ac:dyDescent="0.2">
      <c r="T36" t="s">
        <v>841</v>
      </c>
    </row>
    <row r="37" spans="9:20" x14ac:dyDescent="0.2">
      <c r="T37" t="s">
        <v>842</v>
      </c>
    </row>
    <row r="38" spans="9:20" x14ac:dyDescent="0.2">
      <c r="T38" t="s">
        <v>843</v>
      </c>
    </row>
    <row r="39" spans="9:20" x14ac:dyDescent="0.2">
      <c r="T39" t="s">
        <v>844</v>
      </c>
    </row>
    <row r="40" spans="9:20" x14ac:dyDescent="0.2">
      <c r="T40" t="s">
        <v>845</v>
      </c>
    </row>
    <row r="41" spans="9:20" x14ac:dyDescent="0.2">
      <c r="T41" t="s">
        <v>846</v>
      </c>
    </row>
    <row r="42" spans="9:20" x14ac:dyDescent="0.2">
      <c r="T42" t="s">
        <v>847</v>
      </c>
    </row>
    <row r="43" spans="9:20" x14ac:dyDescent="0.2">
      <c r="T43" t="s">
        <v>848</v>
      </c>
    </row>
    <row r="44" spans="9:20" x14ac:dyDescent="0.2">
      <c r="T44" t="s">
        <v>849</v>
      </c>
    </row>
    <row r="45" spans="9:20" x14ac:dyDescent="0.2">
      <c r="T45" t="s">
        <v>850</v>
      </c>
    </row>
    <row r="46" spans="9:20" x14ac:dyDescent="0.2">
      <c r="T46" t="s">
        <v>851</v>
      </c>
    </row>
    <row r="47" spans="9:20" x14ac:dyDescent="0.2">
      <c r="T47" t="s">
        <v>852</v>
      </c>
    </row>
    <row r="48" spans="9:20" x14ac:dyDescent="0.2">
      <c r="T48" t="s">
        <v>853</v>
      </c>
    </row>
    <row r="49" spans="20:20" x14ac:dyDescent="0.2">
      <c r="T49" t="s">
        <v>854</v>
      </c>
    </row>
    <row r="50" spans="20:20" x14ac:dyDescent="0.2">
      <c r="T50" t="s">
        <v>855</v>
      </c>
    </row>
    <row r="51" spans="20:20" x14ac:dyDescent="0.2">
      <c r="T51" t="s">
        <v>856</v>
      </c>
    </row>
    <row r="52" spans="20:20" x14ac:dyDescent="0.2">
      <c r="T52" t="s">
        <v>857</v>
      </c>
    </row>
    <row r="53" spans="20:20" x14ac:dyDescent="0.2">
      <c r="T53" t="s">
        <v>858</v>
      </c>
    </row>
    <row r="54" spans="20:20" x14ac:dyDescent="0.2">
      <c r="T54" t="s">
        <v>859</v>
      </c>
    </row>
    <row r="55" spans="20:20" x14ac:dyDescent="0.2">
      <c r="T55" t="s">
        <v>860</v>
      </c>
    </row>
    <row r="56" spans="20:20" x14ac:dyDescent="0.2">
      <c r="T56" t="s">
        <v>861</v>
      </c>
    </row>
    <row r="57" spans="20:20" x14ac:dyDescent="0.2">
      <c r="T57" t="s">
        <v>862</v>
      </c>
    </row>
    <row r="79" spans="2:2" x14ac:dyDescent="0.2">
      <c r="B79" s="33"/>
    </row>
  </sheetData>
  <pageMargins left="0.7" right="0.7" top="0.75" bottom="0.75" header="0.3" footer="0.3"/>
  <pageSetup scale="79" orientation="portrait" r:id="rId1"/>
  <headerFooter>
    <oddFooter>&amp;L&amp;"Arial,Regular"May, 2017_x000D_&amp;1#&amp;"Calibri"&amp;10&amp;K000000 Fannie Mae Confidential</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O25"/>
  <sheetViews>
    <sheetView zoomScale="90" zoomScaleNormal="90" workbookViewId="0">
      <selection activeCell="B6" sqref="B6"/>
    </sheetView>
  </sheetViews>
  <sheetFormatPr baseColWidth="10" defaultColWidth="8.83203125" defaultRowHeight="15" x14ac:dyDescent="0.2"/>
  <cols>
    <col min="1" max="1" width="22.33203125" customWidth="1"/>
    <col min="2" max="2" width="18.6640625" customWidth="1"/>
    <col min="3" max="3" width="27.33203125" customWidth="1"/>
    <col min="4" max="4" width="33.6640625" customWidth="1"/>
    <col min="5" max="5" width="35" customWidth="1"/>
    <col min="6" max="6" width="20.33203125" customWidth="1"/>
    <col min="7" max="7" width="21.6640625" customWidth="1"/>
    <col min="8" max="8" width="16.5" customWidth="1"/>
    <col min="9" max="9" width="42.6640625" customWidth="1"/>
    <col min="10" max="10" width="23.33203125" customWidth="1"/>
    <col min="11" max="11" width="19.5" customWidth="1"/>
    <col min="12" max="12" width="28" customWidth="1"/>
    <col min="13" max="13" width="23" customWidth="1"/>
  </cols>
  <sheetData>
    <row r="1" spans="1:15" x14ac:dyDescent="0.2">
      <c r="A1" t="s">
        <v>863</v>
      </c>
      <c r="B1" t="s">
        <v>143</v>
      </c>
      <c r="C1" t="s">
        <v>864</v>
      </c>
      <c r="D1" t="s">
        <v>865</v>
      </c>
      <c r="E1" t="s">
        <v>866</v>
      </c>
      <c r="F1" t="s">
        <v>867</v>
      </c>
      <c r="G1" t="s">
        <v>149</v>
      </c>
      <c r="H1" t="s">
        <v>868</v>
      </c>
      <c r="I1" t="s">
        <v>147</v>
      </c>
      <c r="J1" t="s">
        <v>138</v>
      </c>
      <c r="K1" t="s">
        <v>869</v>
      </c>
      <c r="L1" t="s">
        <v>136</v>
      </c>
      <c r="M1" t="s">
        <v>870</v>
      </c>
      <c r="N1" t="s">
        <v>871</v>
      </c>
    </row>
    <row r="3" spans="1:15" x14ac:dyDescent="0.2">
      <c r="A3" s="27" t="s">
        <v>872</v>
      </c>
      <c r="B3" t="s">
        <v>145</v>
      </c>
      <c r="C3" t="s">
        <v>873</v>
      </c>
      <c r="D3" t="s">
        <v>874</v>
      </c>
      <c r="E3" t="s">
        <v>875</v>
      </c>
      <c r="F3" t="s">
        <v>876</v>
      </c>
      <c r="G3" t="s">
        <v>151</v>
      </c>
      <c r="H3" t="s">
        <v>877</v>
      </c>
      <c r="I3" t="s">
        <v>148</v>
      </c>
      <c r="J3" t="s">
        <v>878</v>
      </c>
      <c r="K3" t="s">
        <v>879</v>
      </c>
      <c r="L3" t="s">
        <v>140</v>
      </c>
      <c r="M3" t="s">
        <v>880</v>
      </c>
      <c r="N3" t="s">
        <v>313</v>
      </c>
    </row>
    <row r="4" spans="1:15" x14ac:dyDescent="0.2">
      <c r="A4" t="s">
        <v>881</v>
      </c>
      <c r="B4" t="s">
        <v>882</v>
      </c>
      <c r="C4" t="s">
        <v>883</v>
      </c>
      <c r="D4" t="s">
        <v>884</v>
      </c>
      <c r="E4" t="s">
        <v>885</v>
      </c>
      <c r="F4" t="s">
        <v>886</v>
      </c>
      <c r="G4" t="s">
        <v>150</v>
      </c>
      <c r="H4" t="s">
        <v>887</v>
      </c>
      <c r="I4" t="s">
        <v>888</v>
      </c>
      <c r="J4" t="s">
        <v>889</v>
      </c>
      <c r="K4" t="s">
        <v>890</v>
      </c>
      <c r="L4" t="s">
        <v>142</v>
      </c>
      <c r="M4" t="s">
        <v>891</v>
      </c>
    </row>
    <row r="5" spans="1:15" x14ac:dyDescent="0.2">
      <c r="A5" t="s">
        <v>892</v>
      </c>
      <c r="B5" t="s">
        <v>146</v>
      </c>
      <c r="C5" t="s">
        <v>893</v>
      </c>
      <c r="D5" t="s">
        <v>894</v>
      </c>
      <c r="E5" t="s">
        <v>895</v>
      </c>
      <c r="F5" t="s">
        <v>896</v>
      </c>
      <c r="G5" t="s">
        <v>897</v>
      </c>
      <c r="H5" t="s">
        <v>898</v>
      </c>
      <c r="I5" t="s">
        <v>899</v>
      </c>
      <c r="J5" t="s">
        <v>900</v>
      </c>
      <c r="K5" t="s">
        <v>901</v>
      </c>
      <c r="L5" t="s">
        <v>141</v>
      </c>
      <c r="M5" t="s">
        <v>902</v>
      </c>
    </row>
    <row r="6" spans="1:15" x14ac:dyDescent="0.2">
      <c r="A6" t="s">
        <v>903</v>
      </c>
      <c r="B6" t="s">
        <v>144</v>
      </c>
      <c r="C6" t="s">
        <v>904</v>
      </c>
      <c r="D6" t="s">
        <v>905</v>
      </c>
      <c r="E6" t="s">
        <v>906</v>
      </c>
      <c r="F6" t="s">
        <v>907</v>
      </c>
      <c r="G6" t="s">
        <v>908</v>
      </c>
      <c r="H6" t="s">
        <v>909</v>
      </c>
      <c r="I6" t="s">
        <v>910</v>
      </c>
      <c r="J6" t="s">
        <v>139</v>
      </c>
      <c r="K6" t="s">
        <v>911</v>
      </c>
      <c r="L6" t="s">
        <v>137</v>
      </c>
      <c r="M6" t="s">
        <v>912</v>
      </c>
    </row>
    <row r="7" spans="1:15" x14ac:dyDescent="0.2">
      <c r="A7" t="s">
        <v>313</v>
      </c>
      <c r="B7" t="s">
        <v>913</v>
      </c>
      <c r="C7" t="s">
        <v>914</v>
      </c>
      <c r="D7" t="s">
        <v>915</v>
      </c>
      <c r="E7" t="s">
        <v>914</v>
      </c>
      <c r="F7" t="s">
        <v>313</v>
      </c>
      <c r="G7" t="s">
        <v>907</v>
      </c>
      <c r="H7" t="s">
        <v>313</v>
      </c>
      <c r="I7" t="s">
        <v>916</v>
      </c>
      <c r="J7" t="s">
        <v>917</v>
      </c>
      <c r="K7" t="s">
        <v>907</v>
      </c>
      <c r="L7" t="s">
        <v>172</v>
      </c>
      <c r="M7" t="s">
        <v>918</v>
      </c>
      <c r="O7" t="str">
        <f t="shared" ref="O7:O16" si="0">MID(N8, 4, 100)</f>
        <v/>
      </c>
    </row>
    <row r="8" spans="1:15" x14ac:dyDescent="0.2">
      <c r="B8" t="s">
        <v>313</v>
      </c>
      <c r="C8" t="s">
        <v>919</v>
      </c>
      <c r="D8" t="s">
        <v>920</v>
      </c>
      <c r="E8" t="s">
        <v>907</v>
      </c>
      <c r="G8" t="s">
        <v>313</v>
      </c>
      <c r="I8" t="s">
        <v>921</v>
      </c>
      <c r="J8" t="s">
        <v>313</v>
      </c>
      <c r="K8" t="s">
        <v>313</v>
      </c>
      <c r="L8" t="s">
        <v>922</v>
      </c>
      <c r="M8" t="s">
        <v>923</v>
      </c>
      <c r="O8" t="str">
        <f t="shared" si="0"/>
        <v/>
      </c>
    </row>
    <row r="9" spans="1:15" x14ac:dyDescent="0.2">
      <c r="C9" t="s">
        <v>907</v>
      </c>
      <c r="D9" t="s">
        <v>924</v>
      </c>
      <c r="E9" t="s">
        <v>313</v>
      </c>
      <c r="I9" t="s">
        <v>925</v>
      </c>
      <c r="L9" t="s">
        <v>926</v>
      </c>
      <c r="M9" t="s">
        <v>927</v>
      </c>
      <c r="O9" t="str">
        <f t="shared" si="0"/>
        <v/>
      </c>
    </row>
    <row r="10" spans="1:15" x14ac:dyDescent="0.2">
      <c r="C10" t="s">
        <v>313</v>
      </c>
      <c r="D10" t="s">
        <v>928</v>
      </c>
      <c r="I10" t="s">
        <v>929</v>
      </c>
      <c r="L10" t="s">
        <v>930</v>
      </c>
      <c r="M10" t="s">
        <v>931</v>
      </c>
      <c r="O10" t="str">
        <f t="shared" si="0"/>
        <v/>
      </c>
    </row>
    <row r="11" spans="1:15" x14ac:dyDescent="0.2">
      <c r="D11" t="s">
        <v>932</v>
      </c>
      <c r="I11" t="s">
        <v>933</v>
      </c>
      <c r="L11" t="s">
        <v>907</v>
      </c>
      <c r="M11" t="s">
        <v>934</v>
      </c>
      <c r="O11" t="str">
        <f t="shared" si="0"/>
        <v/>
      </c>
    </row>
    <row r="12" spans="1:15" x14ac:dyDescent="0.2">
      <c r="D12" t="s">
        <v>935</v>
      </c>
      <c r="I12" t="s">
        <v>936</v>
      </c>
      <c r="L12" t="s">
        <v>313</v>
      </c>
      <c r="M12" t="s">
        <v>914</v>
      </c>
      <c r="O12" t="str">
        <f t="shared" si="0"/>
        <v/>
      </c>
    </row>
    <row r="13" spans="1:15" x14ac:dyDescent="0.2">
      <c r="D13" t="s">
        <v>937</v>
      </c>
      <c r="I13" t="s">
        <v>938</v>
      </c>
      <c r="M13" t="s">
        <v>907</v>
      </c>
      <c r="O13" t="str">
        <f t="shared" si="0"/>
        <v/>
      </c>
    </row>
    <row r="14" spans="1:15" x14ac:dyDescent="0.2">
      <c r="D14" t="s">
        <v>939</v>
      </c>
      <c r="I14" t="s">
        <v>940</v>
      </c>
      <c r="M14" t="s">
        <v>313</v>
      </c>
      <c r="O14" t="str">
        <f t="shared" si="0"/>
        <v/>
      </c>
    </row>
    <row r="15" spans="1:15" x14ac:dyDescent="0.2">
      <c r="D15" t="s">
        <v>941</v>
      </c>
      <c r="I15" t="s">
        <v>906</v>
      </c>
      <c r="O15" t="str">
        <f t="shared" si="0"/>
        <v/>
      </c>
    </row>
    <row r="16" spans="1:15" x14ac:dyDescent="0.2">
      <c r="D16" t="s">
        <v>313</v>
      </c>
      <c r="I16" t="s">
        <v>942</v>
      </c>
      <c r="O16" t="str">
        <f t="shared" si="0"/>
        <v/>
      </c>
    </row>
    <row r="17" spans="2:12" x14ac:dyDescent="0.2">
      <c r="I17" t="s">
        <v>914</v>
      </c>
    </row>
    <row r="18" spans="2:12" x14ac:dyDescent="0.2">
      <c r="I18" t="s">
        <v>943</v>
      </c>
    </row>
    <row r="19" spans="2:12" x14ac:dyDescent="0.2">
      <c r="I19" t="s">
        <v>944</v>
      </c>
    </row>
    <row r="20" spans="2:12" x14ac:dyDescent="0.2">
      <c r="I20" t="s">
        <v>945</v>
      </c>
    </row>
    <row r="21" spans="2:12" x14ac:dyDescent="0.2">
      <c r="I21" t="s">
        <v>946</v>
      </c>
    </row>
    <row r="22" spans="2:12" x14ac:dyDescent="0.2">
      <c r="I22" t="s">
        <v>313</v>
      </c>
    </row>
    <row r="25" spans="2:12" x14ac:dyDescent="0.2">
      <c r="B25" s="1"/>
      <c r="L25" s="1"/>
    </row>
  </sheetData>
  <pageMargins left="0.7" right="0.7" top="0.75" bottom="0.75" header="0.3" footer="0.3"/>
  <pageSetup orientation="portrait" r:id="rId1"/>
  <headerFooter>
    <oddFooter>&amp;L_x000D_&amp;1#&amp;"Calibri"&amp;10&amp;K000000 Fannie Mae Confidential&amp;CConfidential - Internal Distribution</oddFooter>
  </headerFooter>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autoPageBreaks="0"/>
  </sheetPr>
  <dimension ref="B1:Q76"/>
  <sheetViews>
    <sheetView showGridLines="0" zoomScaleNormal="100" workbookViewId="0"/>
  </sheetViews>
  <sheetFormatPr baseColWidth="10" defaultColWidth="9.33203125" defaultRowHeight="11" x14ac:dyDescent="0.15"/>
  <cols>
    <col min="1" max="2" width="2.33203125" style="225" customWidth="1"/>
    <col min="3" max="8" width="9.33203125" style="225"/>
    <col min="9" max="9" width="2.33203125" style="225" customWidth="1"/>
    <col min="10" max="14" width="9.33203125" style="225"/>
    <col min="15" max="15" width="9.33203125" style="225" customWidth="1"/>
    <col min="16" max="16" width="35.83203125" style="225" hidden="1" customWidth="1"/>
    <col min="17" max="17" width="34.1640625" style="225" hidden="1" customWidth="1"/>
    <col min="18" max="18" width="9.33203125" style="225" customWidth="1"/>
    <col min="19" max="16384" width="9.33203125" style="225"/>
  </cols>
  <sheetData>
    <row r="1" spans="2:17" s="92" customFormat="1" ht="15" customHeight="1" x14ac:dyDescent="0.2">
      <c r="C1" s="91"/>
      <c r="D1" s="91"/>
      <c r="E1" s="91"/>
      <c r="F1" s="91"/>
      <c r="G1" s="91"/>
      <c r="H1" s="91"/>
      <c r="I1" s="91"/>
      <c r="J1" s="91"/>
      <c r="K1" s="91"/>
      <c r="L1" s="91"/>
    </row>
    <row r="2" spans="2:17" s="92" customFormat="1" ht="25" x14ac:dyDescent="0.3">
      <c r="B2" s="107" t="s">
        <v>947</v>
      </c>
      <c r="G2" s="91"/>
    </row>
    <row r="3" spans="2:17" s="92" customFormat="1" ht="29.25" customHeight="1" x14ac:dyDescent="0.2">
      <c r="B3" s="1049" t="s">
        <v>948</v>
      </c>
      <c r="C3" s="1049"/>
      <c r="D3" s="1049"/>
      <c r="E3" s="1049"/>
      <c r="F3" s="1049"/>
      <c r="G3" s="1049"/>
      <c r="H3" s="1049"/>
      <c r="I3" s="1049"/>
      <c r="J3" s="1049"/>
      <c r="K3" s="1049"/>
      <c r="L3" s="1049"/>
      <c r="M3" s="1049"/>
      <c r="N3" s="1049"/>
      <c r="O3" s="765"/>
      <c r="P3" s="752"/>
    </row>
    <row r="4" spans="2:17" s="109" customFormat="1" x14ac:dyDescent="0.15"/>
    <row r="5" spans="2:17" x14ac:dyDescent="0.15">
      <c r="P5" s="725" t="s">
        <v>949</v>
      </c>
      <c r="Q5" s="109"/>
    </row>
    <row r="6" spans="2:17" x14ac:dyDescent="0.15">
      <c r="B6" s="594" t="str">
        <f>measures_table[[#Headers],[Advanced controls and metering]]</f>
        <v>Advanced controls and metering</v>
      </c>
      <c r="C6" s="595"/>
      <c r="D6" s="595"/>
      <c r="E6" s="595"/>
      <c r="F6" s="595"/>
      <c r="G6" s="595"/>
      <c r="I6" s="594" t="str">
        <f>measures_table[[#Headers],[Heating ventilating and air conditioning]]</f>
        <v>Heating ventilating and air conditioning</v>
      </c>
      <c r="J6" s="595"/>
      <c r="K6" s="595"/>
      <c r="L6" s="595"/>
      <c r="M6" s="595"/>
      <c r="N6" s="595"/>
      <c r="P6" s="725" t="s">
        <v>950</v>
      </c>
      <c r="Q6" s="725" t="s">
        <v>951</v>
      </c>
    </row>
    <row r="7" spans="2:17" x14ac:dyDescent="0.15">
      <c r="C7" s="225" t="str">
        <f>MeasureList!A3</f>
        <v>Add or upgrade BAS/EMS/EMCS</v>
      </c>
      <c r="J7" s="225" t="str">
        <f>MeasureList!I3</f>
        <v>Install smart thermostats</v>
      </c>
      <c r="P7" s="724" t="str">
        <f>MeasureList!B3</f>
        <v>Replace dishwashers with ENERGY STAR certified</v>
      </c>
      <c r="Q7" s="724" t="s">
        <v>952</v>
      </c>
    </row>
    <row r="8" spans="2:17" x14ac:dyDescent="0.15">
      <c r="C8" s="225" t="str">
        <f>MeasureList!A4</f>
        <v>Add or upgrade controls</v>
      </c>
      <c r="J8" s="225" t="str">
        <f>MeasureList!I4</f>
        <v>Install or replace heat pumps</v>
      </c>
      <c r="P8" s="724" t="str">
        <f>MeasureList!B4</f>
        <v>Replace clothes dryers with ENERGY STAR certified</v>
      </c>
      <c r="Q8" s="724" t="s">
        <v>953</v>
      </c>
    </row>
    <row r="9" spans="2:17" x14ac:dyDescent="0.15">
      <c r="C9" s="109" t="str">
        <f>MeasureList!A5</f>
        <v>Convert pneumatic controls to DDC</v>
      </c>
      <c r="J9" s="225" t="str">
        <f>MeasureList!I5</f>
        <v>Replace split system AC</v>
      </c>
      <c r="P9" s="724" t="str">
        <f>MeasureList!B5</f>
        <v>Replace washing machines with ENERGY STAR certified</v>
      </c>
      <c r="Q9" s="724" t="s">
        <v>954</v>
      </c>
    </row>
    <row r="10" spans="2:17" x14ac:dyDescent="0.15">
      <c r="C10" s="225" t="str">
        <f>MeasureList!A6</f>
        <v>Install advanced metering systems</v>
      </c>
      <c r="J10" s="225" t="str">
        <f>MeasureList!I6</f>
        <v>Replace package units</v>
      </c>
      <c r="P10" s="724" t="str">
        <f>MeasureList!B6</f>
        <v>Replace refrigerators with ENERGY STAR certified</v>
      </c>
      <c r="Q10" s="724" t="s">
        <v>955</v>
      </c>
    </row>
    <row r="11" spans="2:17" x14ac:dyDescent="0.15">
      <c r="C11" s="225" t="str">
        <f>MeasureList!A7</f>
        <v>Other</v>
      </c>
      <c r="J11" s="225" t="str">
        <f>MeasureList!I7</f>
        <v>Replace or modify AHU</v>
      </c>
      <c r="P11" s="109"/>
      <c r="Q11" s="109"/>
    </row>
    <row r="12" spans="2:17" x14ac:dyDescent="0.15">
      <c r="J12" s="225" t="str">
        <f>MeasureList!I8</f>
        <v>Replace PTACs</v>
      </c>
      <c r="P12" s="109"/>
      <c r="Q12" s="109"/>
    </row>
    <row r="13" spans="2:17" x14ac:dyDescent="0.15">
      <c r="B13" s="594" t="str">
        <f>measures_table[[#Headers],[Appliances and plug load reductions]]</f>
        <v>Appliances and plug load reductions</v>
      </c>
      <c r="C13" s="595"/>
      <c r="D13" s="595"/>
      <c r="E13" s="595"/>
      <c r="F13" s="595"/>
      <c r="G13" s="595"/>
      <c r="J13" s="225" t="str">
        <f>MeasureList!I9</f>
        <v>Replace wall/window AC</v>
      </c>
      <c r="P13" s="109"/>
      <c r="Q13" s="109"/>
    </row>
    <row r="14" spans="2:17" x14ac:dyDescent="0.15">
      <c r="C14" s="225" t="str">
        <f>MeasureList!B3</f>
        <v>Replace dishwashers with ENERGY STAR certified</v>
      </c>
      <c r="J14" s="225" t="str">
        <f>MeasureList!I10</f>
        <v>Add duct insulation</v>
      </c>
      <c r="P14" s="109"/>
      <c r="Q14" s="109"/>
    </row>
    <row r="15" spans="2:17" x14ac:dyDescent="0.15">
      <c r="C15" s="225" t="str">
        <f>MeasureList!B4</f>
        <v>Replace clothes dryers with ENERGY STAR certified</v>
      </c>
      <c r="J15" s="225" t="str">
        <f>MeasureList!I11</f>
        <v>Seal ducts</v>
      </c>
    </row>
    <row r="16" spans="2:17" x14ac:dyDescent="0.15">
      <c r="C16" s="225" t="str">
        <f>MeasureList!B5</f>
        <v>Replace washing machines with ENERGY STAR certified</v>
      </c>
      <c r="J16" s="225" t="str">
        <f>MeasureList!I12</f>
        <v>Replace exhaust or ventilation fans</v>
      </c>
    </row>
    <row r="17" spans="2:14" x14ac:dyDescent="0.15">
      <c r="C17" s="225" t="str">
        <f>MeasureList!B6</f>
        <v>Replace refrigerators with ENERGY STAR certified</v>
      </c>
      <c r="J17" s="225" t="str">
        <f>MeasureList!I13</f>
        <v>Upgrade and balance ventilation system</v>
      </c>
    </row>
    <row r="18" spans="2:14" x14ac:dyDescent="0.15">
      <c r="C18" s="225" t="str">
        <f>MeasureList!B7</f>
        <v>Install plug load controls</v>
      </c>
      <c r="J18" s="225" t="str">
        <f>MeasureList!I14</f>
        <v>Install ground source heat pump system</v>
      </c>
    </row>
    <row r="19" spans="2:14" x14ac:dyDescent="0.15">
      <c r="C19" s="225" t="str">
        <f>MeasureList!B8</f>
        <v>Other</v>
      </c>
      <c r="J19" s="225" t="str">
        <f>MeasureList!I15</f>
        <v>Add or replace cooling tower</v>
      </c>
    </row>
    <row r="20" spans="2:14" x14ac:dyDescent="0.15">
      <c r="J20" s="109" t="str">
        <f>MeasureList!I16</f>
        <v>Add economizer</v>
      </c>
    </row>
    <row r="21" spans="2:14" x14ac:dyDescent="0.15">
      <c r="B21" s="594" t="str">
        <f>measures_table[[#Headers],[Boiler plant improvements]]</f>
        <v>Boiler plant improvements</v>
      </c>
      <c r="C21" s="595"/>
      <c r="D21" s="595"/>
      <c r="E21" s="595"/>
      <c r="F21" s="595"/>
      <c r="G21" s="595"/>
      <c r="J21" s="225" t="str">
        <f>MeasureList!I17</f>
        <v>Add energy recovery</v>
      </c>
    </row>
    <row r="22" spans="2:14" x14ac:dyDescent="0.15">
      <c r="C22" s="109" t="str">
        <f>MeasureList!C3</f>
        <v>Replace central heating boiler with electric heating</v>
      </c>
      <c r="J22" s="225" t="str">
        <f>MeasureList!I18</f>
        <v>Other heating</v>
      </c>
    </row>
    <row r="23" spans="2:14" x14ac:dyDescent="0.15">
      <c r="C23" s="109" t="str">
        <f>MeasureList!C4</f>
        <v>Replace individual heating boiler with electric heating</v>
      </c>
      <c r="J23" s="225" t="str">
        <f>MeasureList!I19</f>
        <v>Other cooling</v>
      </c>
    </row>
    <row r="24" spans="2:14" x14ac:dyDescent="0.15">
      <c r="C24" s="225" t="str">
        <f>MeasureList!C5</f>
        <v>Insulate boiler room</v>
      </c>
      <c r="J24" s="225" t="str">
        <f>MeasureList!I20</f>
        <v>Other ventilation</v>
      </c>
    </row>
    <row r="25" spans="2:14" x14ac:dyDescent="0.15">
      <c r="C25" s="225" t="str">
        <f>MeasureList!C6</f>
        <v>Insulate boiler</v>
      </c>
      <c r="J25" s="225" t="str">
        <f>MeasureList!I21</f>
        <v>Other distribution</v>
      </c>
    </row>
    <row r="26" spans="2:14" x14ac:dyDescent="0.15">
      <c r="C26" s="225" t="str">
        <f>MeasureList!C7</f>
        <v>Add energy recovery</v>
      </c>
      <c r="J26" s="225" t="str">
        <f>MeasureList!I22</f>
        <v>Other</v>
      </c>
    </row>
    <row r="27" spans="2:14" x14ac:dyDescent="0.15">
      <c r="C27" s="225" t="str">
        <f>MeasureList!C8</f>
        <v>Convert system from steam to hot water</v>
      </c>
    </row>
    <row r="28" spans="2:14" x14ac:dyDescent="0.15">
      <c r="C28" s="225" t="str">
        <f>MeasureList!C9</f>
        <v>Upgrade controls</v>
      </c>
      <c r="I28" s="594" t="str">
        <f>measures_table[[#Headers],[Lighting]]</f>
        <v>Lighting</v>
      </c>
      <c r="J28" s="595"/>
      <c r="K28" s="595"/>
      <c r="L28" s="595"/>
      <c r="M28" s="595"/>
      <c r="N28" s="595"/>
    </row>
    <row r="29" spans="2:14" x14ac:dyDescent="0.15">
      <c r="C29" s="225" t="str">
        <f>MeasureList!C10</f>
        <v>Other</v>
      </c>
      <c r="J29" s="225" t="str">
        <f>MeasureList!J3</f>
        <v>Upgrade whole building lighting</v>
      </c>
    </row>
    <row r="30" spans="2:14" x14ac:dyDescent="0.15">
      <c r="J30" s="225" t="str">
        <f>MeasureList!J4</f>
        <v>Upgrade common area lighting</v>
      </c>
    </row>
    <row r="31" spans="2:14" x14ac:dyDescent="0.15">
      <c r="B31" s="594" t="str">
        <f>measures_table[[#Headers],[Building envelope]]</f>
        <v>Building envelope</v>
      </c>
      <c r="C31" s="595"/>
      <c r="D31" s="595"/>
      <c r="E31" s="595"/>
      <c r="F31" s="595"/>
      <c r="G31" s="595"/>
      <c r="J31" s="225" t="str">
        <f>MeasureList!J5</f>
        <v>Upgrade exterior lighting</v>
      </c>
    </row>
    <row r="32" spans="2:14" x14ac:dyDescent="0.15">
      <c r="C32" s="225" t="str">
        <f>MeasureList!D3</f>
        <v>Air seal envelope/weather-strip</v>
      </c>
      <c r="J32" s="225" t="str">
        <f>MeasureList!J6</f>
        <v>Upgrade in-unit lighting</v>
      </c>
    </row>
    <row r="33" spans="2:14" x14ac:dyDescent="0.15">
      <c r="C33" s="225" t="str">
        <f>MeasureList!D4</f>
        <v>Increase wall insulation</v>
      </c>
      <c r="J33" s="225" t="str">
        <f>MeasureList!J7</f>
        <v>Install sensors/controls</v>
      </c>
    </row>
    <row r="34" spans="2:14" x14ac:dyDescent="0.15">
      <c r="C34" s="225" t="str">
        <f>MeasureList!D5</f>
        <v>Increase roof insulation</v>
      </c>
      <c r="J34" s="225" t="str">
        <f>MeasureList!J8</f>
        <v>Other</v>
      </c>
    </row>
    <row r="35" spans="2:14" x14ac:dyDescent="0.15">
      <c r="C35" s="225" t="str">
        <f>MeasureList!D6</f>
        <v>Add attic insulation</v>
      </c>
    </row>
    <row r="36" spans="2:14" x14ac:dyDescent="0.15">
      <c r="C36" s="225" t="str">
        <f>MeasureList!D7</f>
        <v>Insulate foundation</v>
      </c>
      <c r="I36" s="594" t="str">
        <f>measures_table[[#Headers],[Renewable energy systems]]</f>
        <v>Renewable energy systems</v>
      </c>
      <c r="J36" s="595"/>
      <c r="K36" s="595"/>
      <c r="L36" s="595"/>
      <c r="M36" s="595"/>
      <c r="N36" s="595"/>
    </row>
    <row r="37" spans="2:14" x14ac:dyDescent="0.15">
      <c r="C37" s="225" t="str">
        <f>MeasureList!D8</f>
        <v>Replace roof</v>
      </c>
      <c r="J37" s="225" t="str">
        <f>MeasureList!K3</f>
        <v>Install photovoltaic system</v>
      </c>
    </row>
    <row r="38" spans="2:14" x14ac:dyDescent="0.15">
      <c r="C38" s="225" t="str">
        <f>MeasureList!D9</f>
        <v>Repair or replace roof for solar PV installation</v>
      </c>
      <c r="J38" s="225" t="str">
        <f>MeasureList!K4</f>
        <v>Install photovoltaic system with battery storage</v>
      </c>
    </row>
    <row r="39" spans="2:14" x14ac:dyDescent="0.15">
      <c r="C39" s="225" t="str">
        <f>MeasureList!D10</f>
        <v>Replace windows</v>
      </c>
      <c r="J39" s="225" t="str">
        <f>MeasureList!K5</f>
        <v>Install battery storage</v>
      </c>
    </row>
    <row r="40" spans="2:14" x14ac:dyDescent="0.15">
      <c r="C40" s="225" t="str">
        <f>MeasureList!D11</f>
        <v>Replace doors</v>
      </c>
      <c r="J40" s="225" t="str">
        <f>MeasureList!K6</f>
        <v>Install wind energy system</v>
      </c>
    </row>
    <row r="41" spans="2:14" x14ac:dyDescent="0.15">
      <c r="C41" s="225" t="str">
        <f>MeasureList!D12</f>
        <v>Add storm windows</v>
      </c>
      <c r="J41" s="225" t="str">
        <f>MeasureList!K7</f>
        <v>Upgrade controls</v>
      </c>
    </row>
    <row r="42" spans="2:14" x14ac:dyDescent="0.15">
      <c r="C42" s="225" t="str">
        <f>MeasureList!D13</f>
        <v>Add window films</v>
      </c>
      <c r="J42" s="225" t="str">
        <f>MeasureList!K8</f>
        <v>Other</v>
      </c>
    </row>
    <row r="43" spans="2:14" x14ac:dyDescent="0.15">
      <c r="C43" s="225" t="str">
        <f>MeasureList!D14</f>
        <v>Install or replace solar screens</v>
      </c>
    </row>
    <row r="44" spans="2:14" x14ac:dyDescent="0.15">
      <c r="C44" s="225" t="str">
        <f>MeasureList!D15</f>
        <v>Install cool/green roof</v>
      </c>
      <c r="I44" s="594" t="str">
        <f>measures_table[[#Headers],[Water and sewer conservation]]</f>
        <v>Water and sewer conservation</v>
      </c>
      <c r="J44" s="595"/>
      <c r="K44" s="595"/>
      <c r="L44" s="595"/>
      <c r="M44" s="595"/>
      <c r="N44" s="595"/>
    </row>
    <row r="45" spans="2:14" x14ac:dyDescent="0.15">
      <c r="C45" s="225" t="str">
        <f>MeasureList!D16</f>
        <v>Other</v>
      </c>
      <c r="J45" s="225" t="str">
        <f>MeasureList!L3</f>
        <v>Install WaterSense low-flush toilets</v>
      </c>
    </row>
    <row r="46" spans="2:14" x14ac:dyDescent="0.15">
      <c r="J46" s="225" t="str">
        <f>MeasureList!L4</f>
        <v>Install WaterSense low-flow bath faucets/aerators</v>
      </c>
    </row>
    <row r="47" spans="2:14" x14ac:dyDescent="0.15">
      <c r="B47" s="594" t="str">
        <f>measures_table[[#Headers],[Chiller plant improvements]]</f>
        <v>Chiller plant improvements</v>
      </c>
      <c r="C47" s="595"/>
      <c r="D47" s="595"/>
      <c r="E47" s="595"/>
      <c r="F47" s="595"/>
      <c r="G47" s="595"/>
      <c r="J47" s="225" t="str">
        <f>MeasureList!L5</f>
        <v>Install low-flow kitchen faucets/aerators</v>
      </c>
    </row>
    <row r="48" spans="2:14" x14ac:dyDescent="0.15">
      <c r="C48" s="225" t="str">
        <f>MeasureList!E3</f>
        <v>Replace chiller</v>
      </c>
      <c r="J48" s="225" t="str">
        <f>MeasureList!L6</f>
        <v>Install WaterSense low-flow showerheads</v>
      </c>
    </row>
    <row r="49" spans="2:14" x14ac:dyDescent="0.15">
      <c r="C49" s="225" t="str">
        <f>MeasureList!E4</f>
        <v>Install VSD on electric centrifugal chillers</v>
      </c>
      <c r="J49" s="225" t="str">
        <f>MeasureList!L7</f>
        <v>Install low-flow fixtures</v>
      </c>
    </row>
    <row r="50" spans="2:14" x14ac:dyDescent="0.15">
      <c r="C50" s="109" t="str">
        <f>MeasureList!E5</f>
        <v>Add economizer cycle</v>
      </c>
      <c r="J50" s="225" t="str">
        <f>MeasureList!L8</f>
        <v>Implement water efficient irrigation</v>
      </c>
    </row>
    <row r="51" spans="2:14" x14ac:dyDescent="0.15">
      <c r="C51" s="225" t="str">
        <f>MeasureList!E6</f>
        <v>Add or replace cooling tower</v>
      </c>
      <c r="J51" s="225" t="str">
        <f>MeasureList!L9</f>
        <v>Install pool cover</v>
      </c>
    </row>
    <row r="52" spans="2:14" x14ac:dyDescent="0.15">
      <c r="C52" s="225" t="str">
        <f>MeasureList!E7</f>
        <v>Add energy recovery</v>
      </c>
      <c r="J52" s="225" t="str">
        <f>MeasureList!L10</f>
        <v>Install thermostatic showerhead valves and/or tub diverters</v>
      </c>
    </row>
    <row r="53" spans="2:14" x14ac:dyDescent="0.15">
      <c r="C53" s="225" t="str">
        <f>MeasureList!E8</f>
        <v>Upgrade controls</v>
      </c>
      <c r="J53" s="225" t="str">
        <f>MeasureList!L11</f>
        <v>Upgrade controls</v>
      </c>
    </row>
    <row r="54" spans="2:14" x14ac:dyDescent="0.15">
      <c r="C54" s="225" t="str">
        <f>MeasureList!E9</f>
        <v>Other</v>
      </c>
      <c r="J54" s="225" t="str">
        <f>MeasureList!L12</f>
        <v>Other</v>
      </c>
    </row>
    <row r="56" spans="2:14" x14ac:dyDescent="0.15">
      <c r="B56" s="594" t="str">
        <f>measures_table[[#Headers],[Distributed generation]]</f>
        <v>Distributed generation</v>
      </c>
      <c r="C56" s="595"/>
      <c r="D56" s="595"/>
      <c r="E56" s="595"/>
      <c r="F56" s="595"/>
      <c r="G56" s="595"/>
      <c r="I56" s="594" t="str">
        <f>measures_table[[#Headers],[Water and steam distribution]]</f>
        <v>Water and steam distribution</v>
      </c>
      <c r="J56" s="595"/>
      <c r="K56" s="595"/>
      <c r="L56" s="595"/>
      <c r="M56" s="595"/>
      <c r="N56" s="595"/>
    </row>
    <row r="57" spans="2:14" x14ac:dyDescent="0.15">
      <c r="C57" s="109" t="str">
        <f>MeasureList!F3</f>
        <v>Install CHP/cogeneration systems</v>
      </c>
      <c r="J57" s="225" t="str">
        <f>MeasureList!M3</f>
        <v>Add pipe insulation</v>
      </c>
    </row>
    <row r="58" spans="2:14" x14ac:dyDescent="0.15">
      <c r="C58" s="225" t="str">
        <f>MeasureList!F4</f>
        <v>Install fuel cells</v>
      </c>
      <c r="J58" s="225" t="str">
        <f>MeasureList!M4</f>
        <v>Add tank insulation</v>
      </c>
    </row>
    <row r="59" spans="2:14" x14ac:dyDescent="0.15">
      <c r="C59" s="225" t="str">
        <f>MeasureList!F5</f>
        <v>Install microturbines</v>
      </c>
      <c r="J59" s="225" t="str">
        <f>MeasureList!M5</f>
        <v>Replace with higher efficiency pump</v>
      </c>
    </row>
    <row r="60" spans="2:14" x14ac:dyDescent="0.15">
      <c r="C60" s="225" t="str">
        <f>MeasureList!F6</f>
        <v>Upgrade controls</v>
      </c>
      <c r="J60" s="225" t="str">
        <f>MeasureList!M6</f>
        <v>Replace with variable speed pump</v>
      </c>
    </row>
    <row r="61" spans="2:14" x14ac:dyDescent="0.15">
      <c r="C61" s="225" t="str">
        <f>MeasureList!F7</f>
        <v>Other</v>
      </c>
      <c r="J61" s="225" t="str">
        <f>MeasureList!M7</f>
        <v>Add recirculating pumps</v>
      </c>
    </row>
    <row r="62" spans="2:14" x14ac:dyDescent="0.15">
      <c r="J62" s="225" t="str">
        <f>MeasureList!M8</f>
        <v>Balance distribution system</v>
      </c>
    </row>
    <row r="63" spans="2:14" x14ac:dyDescent="0.15">
      <c r="B63" s="594" t="str">
        <f>measures_table[[#Headers],[Domestic hot water heating]]</f>
        <v>Domestic hot water heating</v>
      </c>
      <c r="C63" s="595"/>
      <c r="D63" s="595"/>
      <c r="E63" s="595"/>
      <c r="F63" s="595"/>
      <c r="G63" s="595"/>
      <c r="J63" s="225" t="str">
        <f>MeasureList!M9</f>
        <v>Replace steam traps</v>
      </c>
    </row>
    <row r="64" spans="2:14" x14ac:dyDescent="0.15">
      <c r="C64" s="109" t="str">
        <f>MeasureList!G3</f>
        <v>Replace or upgrade central water heater</v>
      </c>
      <c r="J64" s="225" t="str">
        <f>MeasureList!M10</f>
        <v>Install thermostatic radiator valves</v>
      </c>
    </row>
    <row r="65" spans="2:14" x14ac:dyDescent="0.15">
      <c r="C65" s="109" t="str">
        <f>MeasureList!G4</f>
        <v>Replace or upgrade individual water heater</v>
      </c>
      <c r="J65" s="225" t="str">
        <f>MeasureList!M11</f>
        <v>Install or replace condensate return system</v>
      </c>
    </row>
    <row r="66" spans="2:14" x14ac:dyDescent="0.15">
      <c r="C66" s="225" t="str">
        <f>MeasureList!G5</f>
        <v>Install solar hot water system</v>
      </c>
      <c r="J66" s="225" t="str">
        <f>MeasureList!M12</f>
        <v>Add energy recovery</v>
      </c>
    </row>
    <row r="67" spans="2:14" x14ac:dyDescent="0.15">
      <c r="C67" s="109" t="str">
        <f>MeasureList!G6</f>
        <v>Separate DHW from heating</v>
      </c>
      <c r="J67" s="225" t="str">
        <f>MeasureList!M13</f>
        <v>Upgrade controls</v>
      </c>
    </row>
    <row r="68" spans="2:14" x14ac:dyDescent="0.15">
      <c r="C68" s="225" t="str">
        <f>MeasureList!G7</f>
        <v>Upgrade controls</v>
      </c>
      <c r="J68" s="225" t="str">
        <f>MeasureList!M14</f>
        <v>Other</v>
      </c>
    </row>
    <row r="69" spans="2:14" x14ac:dyDescent="0.15">
      <c r="C69" s="225" t="str">
        <f>MeasureList!G8</f>
        <v>Other</v>
      </c>
    </row>
    <row r="70" spans="2:14" x14ac:dyDescent="0.15">
      <c r="I70" s="594" t="str">
        <f>measures_table[[#Headers],[Uncategorized]]</f>
        <v>Uncategorized</v>
      </c>
      <c r="J70" s="595"/>
      <c r="K70" s="595"/>
      <c r="L70" s="595"/>
      <c r="M70" s="595"/>
      <c r="N70" s="595"/>
    </row>
    <row r="71" spans="2:14" x14ac:dyDescent="0.15">
      <c r="B71" s="594" t="str">
        <f>measures_table[[#Headers],[Electric motors and drives]]</f>
        <v>Electric motors and drives</v>
      </c>
      <c r="C71" s="595"/>
      <c r="D71" s="595"/>
      <c r="E71" s="595"/>
      <c r="F71" s="595"/>
      <c r="G71" s="595"/>
      <c r="J71" s="225" t="str">
        <f>MeasureList!N3</f>
        <v>Other</v>
      </c>
    </row>
    <row r="72" spans="2:14" x14ac:dyDescent="0.15">
      <c r="C72" s="225" t="str">
        <f>MeasureList!H3</f>
        <v>Add drive controls</v>
      </c>
    </row>
    <row r="73" spans="2:14" x14ac:dyDescent="0.15">
      <c r="C73" s="225" t="str">
        <f>MeasureList!H4</f>
        <v>Replace with higher efficiency</v>
      </c>
    </row>
    <row r="74" spans="2:14" x14ac:dyDescent="0.15">
      <c r="C74" s="225" t="str">
        <f>MeasureList!H5</f>
        <v>Add VSD motor controller</v>
      </c>
    </row>
    <row r="75" spans="2:14" x14ac:dyDescent="0.15">
      <c r="C75" s="225" t="str">
        <f>MeasureList!H6</f>
        <v>Upgrade elevator technology</v>
      </c>
    </row>
    <row r="76" spans="2:14" x14ac:dyDescent="0.15">
      <c r="C76" s="225" t="str">
        <f>MeasureList!H7</f>
        <v>Other</v>
      </c>
    </row>
  </sheetData>
  <sheetProtection algorithmName="SHA-512" hashValue="uP8Nhf9h6sKhTQx2cPM6bjx75nWS7fGL8kXPUcgcirsCockasUFDmwxZTeYIHKZLIyglzoeEbl+mTtoQY0ymKQ==" saltValue="5xuiojOYXFL4hMR/NKJyFg==" spinCount="100000" sheet="1" objects="1" scenarios="1"/>
  <mergeCells count="1">
    <mergeCell ref="B3:N3"/>
  </mergeCells>
  <pageMargins left="0.7" right="0.7" top="0.75" bottom="0.75" header="0.3" footer="0.3"/>
  <pageSetup paperSize="5" scale="84" orientation="landscape" r:id="rId1"/>
  <headerFooter>
    <oddFooter>&amp;L&amp;"Source Sans Pro,Regular"&amp;8© 2023 Fannie Mae. Trademarks of Fannie Mae._x000D_&amp;1#&amp;"Calibri"&amp;10&amp;K000000 Fannie Mae Confidential&amp;C&amp;"Source Sans Pro,Regular"&amp;8Form 4099.H - October 2023&amp;R&amp;"Source Sans Pro,Regular"&amp;8Page &amp;P of &amp;N</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1:L143"/>
  <sheetViews>
    <sheetView showGridLines="0" zoomScaleNormal="100" workbookViewId="0">
      <selection activeCell="E59" sqref="E59"/>
    </sheetView>
  </sheetViews>
  <sheetFormatPr baseColWidth="10" defaultColWidth="9.33203125" defaultRowHeight="12" x14ac:dyDescent="0.15"/>
  <cols>
    <col min="1" max="1" width="2.33203125" style="16" customWidth="1"/>
    <col min="2" max="2" width="6.5" style="16" customWidth="1"/>
    <col min="3" max="3" width="43.6640625" style="16" customWidth="1"/>
    <col min="4" max="4" width="9.33203125" style="51"/>
    <col min="5" max="5" width="32.6640625" style="16" customWidth="1"/>
    <col min="6" max="6" width="30.5" style="16" customWidth="1"/>
    <col min="7" max="7" width="31.5" style="16" customWidth="1"/>
    <col min="8" max="9" width="9.33203125" style="16"/>
    <col min="10" max="10" width="9.33203125" style="51"/>
    <col min="11" max="16384" width="9.33203125" style="16"/>
  </cols>
  <sheetData>
    <row r="1" spans="2:12" s="14" customFormat="1" ht="15" customHeight="1" x14ac:dyDescent="0.15">
      <c r="C1" s="17"/>
      <c r="D1" s="52"/>
      <c r="E1" s="17"/>
      <c r="F1" s="17"/>
      <c r="G1" s="17"/>
      <c r="H1" s="17"/>
      <c r="J1" s="49"/>
    </row>
    <row r="2" spans="2:12" s="14" customFormat="1" ht="25" x14ac:dyDescent="0.25">
      <c r="B2" s="29" t="s">
        <v>956</v>
      </c>
      <c r="D2" s="52"/>
      <c r="J2" s="49"/>
    </row>
    <row r="3" spans="2:12" s="14" customFormat="1" ht="17.25" customHeight="1" x14ac:dyDescent="0.15">
      <c r="B3" s="1050"/>
      <c r="C3" s="1050"/>
      <c r="D3" s="1050"/>
      <c r="E3" s="1050"/>
      <c r="F3" s="1050"/>
      <c r="G3" s="1050"/>
      <c r="H3" s="1050"/>
      <c r="I3" s="1050"/>
      <c r="J3" s="1050"/>
      <c r="K3" s="1050"/>
      <c r="L3" s="47"/>
    </row>
    <row r="4" spans="2:12" s="18" customFormat="1" x14ac:dyDescent="0.15">
      <c r="D4" s="50"/>
      <c r="J4" s="50"/>
    </row>
    <row r="6" spans="2:12" x14ac:dyDescent="0.15">
      <c r="B6" s="30" t="str">
        <f>measures_table[[#Headers],[Advanced controls and metering]]</f>
        <v>Advanced controls and metering</v>
      </c>
      <c r="C6" s="31"/>
      <c r="D6" s="48" t="s">
        <v>387</v>
      </c>
      <c r="E6" s="31" t="s">
        <v>957</v>
      </c>
      <c r="F6" s="31" t="s">
        <v>958</v>
      </c>
      <c r="G6" s="31" t="s">
        <v>959</v>
      </c>
    </row>
    <row r="7" spans="2:12" x14ac:dyDescent="0.15">
      <c r="B7" s="16">
        <v>1.1000000000000001</v>
      </c>
      <c r="C7" s="16" t="str">
        <f>MeasureList!A3</f>
        <v>Add or upgrade BAS/EMS/EMCS</v>
      </c>
      <c r="D7" s="51">
        <v>10</v>
      </c>
      <c r="E7" s="16" t="s">
        <v>960</v>
      </c>
      <c r="F7" s="16" t="s">
        <v>961</v>
      </c>
    </row>
    <row r="8" spans="2:12" x14ac:dyDescent="0.15">
      <c r="B8" s="16">
        <v>1.2</v>
      </c>
      <c r="C8" s="16" t="str">
        <f>MeasureList!A4</f>
        <v>Add or upgrade controls</v>
      </c>
      <c r="D8" s="51">
        <v>10</v>
      </c>
      <c r="E8" s="16" t="s">
        <v>960</v>
      </c>
      <c r="F8" s="16" t="s">
        <v>961</v>
      </c>
    </row>
    <row r="9" spans="2:12" x14ac:dyDescent="0.15">
      <c r="B9" s="16">
        <v>1.3</v>
      </c>
      <c r="C9" s="16" t="str">
        <f>MeasureList!A5</f>
        <v>Convert pneumatic controls to DDC</v>
      </c>
      <c r="D9" s="76">
        <v>10</v>
      </c>
      <c r="E9" s="16" t="s">
        <v>962</v>
      </c>
    </row>
    <row r="10" spans="2:12" x14ac:dyDescent="0.15">
      <c r="B10" s="16">
        <v>1.4</v>
      </c>
      <c r="C10" s="16" t="str">
        <f>MeasureList!A6</f>
        <v>Install advanced metering systems</v>
      </c>
      <c r="D10" s="76">
        <v>10</v>
      </c>
      <c r="E10" s="16" t="s">
        <v>962</v>
      </c>
    </row>
    <row r="11" spans="2:12" x14ac:dyDescent="0.15">
      <c r="B11" s="16">
        <v>1.5</v>
      </c>
      <c r="C11" s="16" t="str">
        <f>MeasureList!A7</f>
        <v>Other</v>
      </c>
      <c r="E11" s="16" t="s">
        <v>962</v>
      </c>
    </row>
    <row r="13" spans="2:12" x14ac:dyDescent="0.15">
      <c r="B13" s="30" t="str">
        <f>measures_table[[#Headers],[Appliances and plug load reductions]]</f>
        <v>Appliances and plug load reductions</v>
      </c>
      <c r="C13" s="31"/>
      <c r="D13" s="48" t="s">
        <v>387</v>
      </c>
      <c r="E13" s="31" t="s">
        <v>957</v>
      </c>
      <c r="F13" s="31" t="s">
        <v>958</v>
      </c>
      <c r="G13" s="31" t="s">
        <v>959</v>
      </c>
    </row>
    <row r="14" spans="2:12" x14ac:dyDescent="0.15">
      <c r="B14" s="16">
        <v>2.1</v>
      </c>
      <c r="C14" s="16" t="str">
        <f>MeasureList!B3</f>
        <v>Replace dishwashers with ENERGY STAR certified</v>
      </c>
      <c r="D14" s="75">
        <v>7.5</v>
      </c>
      <c r="E14" s="16" t="s">
        <v>963</v>
      </c>
      <c r="F14" s="16" t="s">
        <v>964</v>
      </c>
      <c r="G14" s="16" t="s">
        <v>965</v>
      </c>
    </row>
    <row r="15" spans="2:12" x14ac:dyDescent="0.15">
      <c r="B15" s="16">
        <v>2.2000000000000002</v>
      </c>
      <c r="C15" s="16" t="str">
        <f>MeasureList!B4</f>
        <v>Replace clothes dryers with ENERGY STAR certified</v>
      </c>
      <c r="D15" s="76">
        <v>7.5</v>
      </c>
      <c r="E15" s="16" t="s">
        <v>962</v>
      </c>
    </row>
    <row r="16" spans="2:12" x14ac:dyDescent="0.15">
      <c r="B16" s="16">
        <v>2.2999999999999998</v>
      </c>
      <c r="C16" s="16" t="str">
        <f>MeasureList!B5</f>
        <v>Replace washing machines with ENERGY STAR certified</v>
      </c>
      <c r="D16" s="76">
        <v>7.5</v>
      </c>
      <c r="E16" s="16" t="s">
        <v>962</v>
      </c>
    </row>
    <row r="17" spans="2:7" x14ac:dyDescent="0.15">
      <c r="B17" s="16">
        <v>2.4</v>
      </c>
      <c r="C17" s="16" t="str">
        <f>MeasureList!B6</f>
        <v>Replace refrigerators with ENERGY STAR certified</v>
      </c>
      <c r="D17" s="51">
        <v>10</v>
      </c>
      <c r="E17" s="16" t="s">
        <v>963</v>
      </c>
      <c r="F17" s="16" t="s">
        <v>966</v>
      </c>
    </row>
    <row r="18" spans="2:7" x14ac:dyDescent="0.15">
      <c r="B18" s="16">
        <v>2.5</v>
      </c>
      <c r="C18" s="16" t="str">
        <f>MeasureList!B7</f>
        <v>Install plug load controls</v>
      </c>
      <c r="D18" s="76">
        <v>5</v>
      </c>
      <c r="E18" s="16" t="s">
        <v>962</v>
      </c>
    </row>
    <row r="19" spans="2:7" x14ac:dyDescent="0.15">
      <c r="B19" s="16">
        <v>2.6</v>
      </c>
      <c r="C19" s="16" t="str">
        <f>MeasureList!B8</f>
        <v>Other</v>
      </c>
      <c r="D19" s="54"/>
      <c r="E19" s="16" t="s">
        <v>962</v>
      </c>
    </row>
    <row r="21" spans="2:7" x14ac:dyDescent="0.15">
      <c r="B21" s="30" t="str">
        <f>measures_table[[#Headers],[Boiler plant improvements]]</f>
        <v>Boiler plant improvements</v>
      </c>
      <c r="C21" s="31"/>
      <c r="D21" s="48" t="s">
        <v>387</v>
      </c>
      <c r="E21" s="31" t="s">
        <v>957</v>
      </c>
      <c r="F21" s="31" t="s">
        <v>958</v>
      </c>
      <c r="G21" s="31" t="s">
        <v>959</v>
      </c>
    </row>
    <row r="22" spans="2:7" x14ac:dyDescent="0.15">
      <c r="B22" s="16">
        <v>3.1</v>
      </c>
      <c r="C22" s="16" t="str">
        <f>MeasureList!C3</f>
        <v>Replace central heating boiler with electric heating</v>
      </c>
      <c r="D22" s="51">
        <v>25</v>
      </c>
      <c r="E22" s="16" t="s">
        <v>967</v>
      </c>
      <c r="F22" s="16" t="s">
        <v>968</v>
      </c>
      <c r="G22" s="16" t="s">
        <v>969</v>
      </c>
    </row>
    <row r="23" spans="2:7" x14ac:dyDescent="0.15">
      <c r="B23" s="16">
        <v>3.2</v>
      </c>
      <c r="C23" s="16" t="str">
        <f>MeasureList!C4</f>
        <v>Replace individual heating boiler with electric heating</v>
      </c>
      <c r="D23" s="51">
        <v>25</v>
      </c>
      <c r="E23" s="16" t="s">
        <v>970</v>
      </c>
      <c r="F23" s="16" t="s">
        <v>971</v>
      </c>
    </row>
    <row r="24" spans="2:7" x14ac:dyDescent="0.15">
      <c r="B24" s="16">
        <v>3.3</v>
      </c>
      <c r="C24" s="16" t="str">
        <f>MeasureList!C5</f>
        <v>Insulate boiler room</v>
      </c>
      <c r="D24" s="76">
        <v>15</v>
      </c>
      <c r="E24" s="16" t="s">
        <v>962</v>
      </c>
    </row>
    <row r="25" spans="2:7" x14ac:dyDescent="0.15">
      <c r="B25" s="16">
        <v>3.4</v>
      </c>
      <c r="C25" s="16" t="str">
        <f>MeasureList!C6</f>
        <v>Insulate boiler</v>
      </c>
      <c r="D25" s="76">
        <v>10</v>
      </c>
      <c r="E25" s="16" t="s">
        <v>962</v>
      </c>
    </row>
    <row r="26" spans="2:7" x14ac:dyDescent="0.15">
      <c r="B26" s="16">
        <v>3.5</v>
      </c>
      <c r="C26" s="16" t="str">
        <f>MeasureList!C7</f>
        <v>Add energy recovery</v>
      </c>
      <c r="D26" s="76">
        <v>15</v>
      </c>
      <c r="E26" s="16" t="s">
        <v>962</v>
      </c>
    </row>
    <row r="27" spans="2:7" x14ac:dyDescent="0.15">
      <c r="B27" s="16">
        <v>3.6</v>
      </c>
      <c r="C27" s="16" t="str">
        <f>MeasureList!C8</f>
        <v>Convert system from steam to hot water</v>
      </c>
      <c r="D27" s="76">
        <v>25</v>
      </c>
      <c r="E27" s="16" t="s">
        <v>962</v>
      </c>
    </row>
    <row r="28" spans="2:7" x14ac:dyDescent="0.15">
      <c r="B28" s="16">
        <v>3.7</v>
      </c>
      <c r="C28" s="16" t="str">
        <f>MeasureList!C9</f>
        <v>Upgrade controls</v>
      </c>
      <c r="D28" s="51">
        <v>25</v>
      </c>
      <c r="E28" s="16" t="s">
        <v>972</v>
      </c>
      <c r="F28" s="16" t="s">
        <v>973</v>
      </c>
    </row>
    <row r="29" spans="2:7" x14ac:dyDescent="0.15">
      <c r="B29" s="16">
        <v>3.8</v>
      </c>
      <c r="C29" s="16" t="str">
        <f>MeasureList!C10</f>
        <v>Other</v>
      </c>
      <c r="E29" s="16" t="s">
        <v>962</v>
      </c>
    </row>
    <row r="31" spans="2:7" x14ac:dyDescent="0.15">
      <c r="B31" s="30" t="str">
        <f>measures_table[[#Headers],[Building envelope]]</f>
        <v>Building envelope</v>
      </c>
      <c r="C31" s="31"/>
      <c r="D31" s="48" t="s">
        <v>387</v>
      </c>
      <c r="E31" s="31" t="s">
        <v>957</v>
      </c>
      <c r="F31" s="31" t="s">
        <v>958</v>
      </c>
      <c r="G31" s="31" t="s">
        <v>959</v>
      </c>
    </row>
    <row r="32" spans="2:7" x14ac:dyDescent="0.15">
      <c r="B32" s="16">
        <v>4.0999999999999996</v>
      </c>
      <c r="C32" s="16" t="str">
        <f>MeasureList!D3</f>
        <v>Air seal envelope/weather-strip</v>
      </c>
      <c r="D32" s="76">
        <v>15</v>
      </c>
      <c r="E32" s="16" t="s">
        <v>962</v>
      </c>
    </row>
    <row r="33" spans="2:7" x14ac:dyDescent="0.15">
      <c r="B33" s="16">
        <v>4.2</v>
      </c>
      <c r="C33" s="16" t="str">
        <f>MeasureList!D4</f>
        <v>Increase wall insulation</v>
      </c>
      <c r="D33" s="55">
        <v>50</v>
      </c>
      <c r="E33" s="16" t="s">
        <v>974</v>
      </c>
      <c r="F33" s="16" t="s">
        <v>975</v>
      </c>
      <c r="G33" s="16" t="s">
        <v>976</v>
      </c>
    </row>
    <row r="34" spans="2:7" x14ac:dyDescent="0.15">
      <c r="B34" s="16">
        <v>4.3</v>
      </c>
      <c r="C34" s="16" t="str">
        <f>MeasureList!D5</f>
        <v>Increase roof insulation</v>
      </c>
      <c r="D34" s="51">
        <v>20</v>
      </c>
      <c r="E34" s="16" t="s">
        <v>977</v>
      </c>
      <c r="F34" s="16" t="s">
        <v>978</v>
      </c>
    </row>
    <row r="35" spans="2:7" x14ac:dyDescent="0.15">
      <c r="B35" s="16">
        <v>4.4000000000000004</v>
      </c>
      <c r="C35" s="16" t="str">
        <f>MeasureList!D6</f>
        <v>Add attic insulation</v>
      </c>
      <c r="D35" s="76">
        <v>15</v>
      </c>
      <c r="E35" s="16" t="s">
        <v>962</v>
      </c>
    </row>
    <row r="36" spans="2:7" x14ac:dyDescent="0.15">
      <c r="B36" s="16">
        <v>4.5</v>
      </c>
      <c r="C36" s="16" t="str">
        <f>MeasureList!D7</f>
        <v>Insulate foundation</v>
      </c>
      <c r="D36" s="55">
        <v>50</v>
      </c>
      <c r="E36" s="16" t="s">
        <v>979</v>
      </c>
      <c r="F36" s="16" t="s">
        <v>979</v>
      </c>
    </row>
    <row r="37" spans="2:7" x14ac:dyDescent="0.15">
      <c r="B37" s="16">
        <v>4.5999999999999996</v>
      </c>
      <c r="C37" s="16" t="str">
        <f>MeasureList!D8</f>
        <v>Replace roof</v>
      </c>
      <c r="D37" s="51">
        <v>20</v>
      </c>
      <c r="E37" s="16" t="s">
        <v>977</v>
      </c>
      <c r="F37" s="16" t="s">
        <v>978</v>
      </c>
    </row>
    <row r="38" spans="2:7" x14ac:dyDescent="0.15">
      <c r="B38" s="16">
        <v>4.7</v>
      </c>
      <c r="C38" s="16" t="str">
        <f>MeasureList!D9</f>
        <v>Repair or replace roof for solar PV installation</v>
      </c>
      <c r="D38" s="51">
        <v>20</v>
      </c>
      <c r="E38" s="16" t="s">
        <v>977</v>
      </c>
      <c r="F38" s="16" t="s">
        <v>978</v>
      </c>
    </row>
    <row r="39" spans="2:7" x14ac:dyDescent="0.15">
      <c r="B39" s="16">
        <v>4.8</v>
      </c>
      <c r="C39" s="16" t="str">
        <f>MeasureList!D10</f>
        <v>Replace windows</v>
      </c>
      <c r="D39" s="51">
        <v>30</v>
      </c>
      <c r="E39" s="16" t="s">
        <v>980</v>
      </c>
      <c r="F39" s="16" t="s">
        <v>981</v>
      </c>
      <c r="G39" s="16" t="s">
        <v>982</v>
      </c>
    </row>
    <row r="40" spans="2:7" x14ac:dyDescent="0.15">
      <c r="B40" s="16">
        <v>4.9000000000000004</v>
      </c>
      <c r="C40" s="16" t="str">
        <f>MeasureList!D11</f>
        <v>Replace doors</v>
      </c>
      <c r="D40" s="51">
        <v>25</v>
      </c>
      <c r="E40" s="16" t="s">
        <v>980</v>
      </c>
      <c r="F40" s="16" t="s">
        <v>983</v>
      </c>
      <c r="G40" s="16" t="s">
        <v>984</v>
      </c>
    </row>
    <row r="41" spans="2:7" x14ac:dyDescent="0.15">
      <c r="B41" s="53">
        <v>4.0999999999999996</v>
      </c>
      <c r="C41" s="16" t="str">
        <f>MeasureList!D12</f>
        <v>Add storm windows</v>
      </c>
      <c r="D41" s="51">
        <v>10</v>
      </c>
      <c r="E41" s="16" t="s">
        <v>980</v>
      </c>
      <c r="F41" s="16" t="s">
        <v>985</v>
      </c>
    </row>
    <row r="42" spans="2:7" x14ac:dyDescent="0.15">
      <c r="B42" s="16">
        <v>4.1100000000000003</v>
      </c>
      <c r="C42" s="16" t="str">
        <f>MeasureList!D13</f>
        <v>Add window films</v>
      </c>
      <c r="D42" s="76">
        <v>10</v>
      </c>
      <c r="E42" s="16" t="s">
        <v>962</v>
      </c>
    </row>
    <row r="43" spans="2:7" x14ac:dyDescent="0.15">
      <c r="B43" s="16">
        <v>4.12</v>
      </c>
      <c r="C43" s="16" t="str">
        <f>MeasureList!D14</f>
        <v>Install or replace solar screens</v>
      </c>
      <c r="D43" s="76">
        <v>10</v>
      </c>
      <c r="E43" s="16" t="s">
        <v>962</v>
      </c>
    </row>
    <row r="44" spans="2:7" x14ac:dyDescent="0.15">
      <c r="B44" s="16">
        <v>4.13</v>
      </c>
      <c r="C44" s="16" t="str">
        <f>MeasureList!D15</f>
        <v>Install cool/green roof</v>
      </c>
      <c r="D44" s="76">
        <v>20</v>
      </c>
      <c r="E44" s="16" t="s">
        <v>962</v>
      </c>
    </row>
    <row r="45" spans="2:7" x14ac:dyDescent="0.15">
      <c r="B45" s="16">
        <v>4.1399999999999997</v>
      </c>
      <c r="C45" s="16" t="str">
        <f>MeasureList!D16</f>
        <v>Other</v>
      </c>
      <c r="E45" s="16" t="s">
        <v>962</v>
      </c>
    </row>
    <row r="47" spans="2:7" x14ac:dyDescent="0.15">
      <c r="B47" s="30" t="str">
        <f>measures_table[[#Headers],[Chiller plant improvements]]</f>
        <v>Chiller plant improvements</v>
      </c>
      <c r="C47" s="31"/>
      <c r="D47" s="48" t="s">
        <v>387</v>
      </c>
      <c r="E47" s="31" t="s">
        <v>957</v>
      </c>
      <c r="F47" s="31" t="s">
        <v>958</v>
      </c>
      <c r="G47" s="31" t="s">
        <v>959</v>
      </c>
    </row>
    <row r="48" spans="2:7" x14ac:dyDescent="0.15">
      <c r="B48" s="16">
        <v>5.0999999999999996</v>
      </c>
      <c r="C48" s="16" t="str">
        <f>MeasureList!E3</f>
        <v>Replace chiller</v>
      </c>
      <c r="D48" s="51">
        <v>15</v>
      </c>
      <c r="E48" s="16" t="s">
        <v>986</v>
      </c>
      <c r="F48" s="16" t="s">
        <v>987</v>
      </c>
    </row>
    <row r="49" spans="2:7" x14ac:dyDescent="0.15">
      <c r="B49" s="16">
        <v>5.2</v>
      </c>
      <c r="C49" s="16" t="str">
        <f>MeasureList!E4</f>
        <v>Install VSD on electric centrifugal chillers</v>
      </c>
      <c r="D49" s="76">
        <v>15</v>
      </c>
      <c r="E49" s="16" t="s">
        <v>962</v>
      </c>
    </row>
    <row r="50" spans="2:7" x14ac:dyDescent="0.15">
      <c r="B50" s="16">
        <v>5.3</v>
      </c>
      <c r="C50" s="16" t="str">
        <f>MeasureList!E5</f>
        <v>Add economizer cycle</v>
      </c>
      <c r="D50" s="76">
        <v>10</v>
      </c>
      <c r="E50" s="16" t="s">
        <v>962</v>
      </c>
    </row>
    <row r="51" spans="2:7" x14ac:dyDescent="0.15">
      <c r="B51" s="16">
        <v>5.4</v>
      </c>
      <c r="C51" s="16" t="str">
        <f>MeasureList!E6</f>
        <v>Add or replace cooling tower</v>
      </c>
      <c r="D51" s="51">
        <v>25</v>
      </c>
      <c r="E51" s="16" t="s">
        <v>988</v>
      </c>
      <c r="F51" s="16" t="s">
        <v>989</v>
      </c>
    </row>
    <row r="52" spans="2:7" x14ac:dyDescent="0.15">
      <c r="B52" s="16">
        <v>5.5</v>
      </c>
      <c r="C52" s="16" t="str">
        <f>MeasureList!E7</f>
        <v>Add energy recovery</v>
      </c>
      <c r="D52" s="76">
        <v>15</v>
      </c>
      <c r="E52" s="16" t="s">
        <v>962</v>
      </c>
    </row>
    <row r="53" spans="2:7" x14ac:dyDescent="0.15">
      <c r="B53" s="16">
        <v>5.6</v>
      </c>
      <c r="C53" s="16" t="str">
        <f>MeasureList!E8</f>
        <v>Upgrade controls</v>
      </c>
      <c r="D53" s="76">
        <v>15</v>
      </c>
      <c r="E53" s="16" t="s">
        <v>962</v>
      </c>
    </row>
    <row r="54" spans="2:7" x14ac:dyDescent="0.15">
      <c r="B54" s="16">
        <v>5.7</v>
      </c>
      <c r="C54" s="16" t="str">
        <f>MeasureList!E9</f>
        <v>Other</v>
      </c>
      <c r="E54" s="16" t="s">
        <v>962</v>
      </c>
    </row>
    <row r="56" spans="2:7" x14ac:dyDescent="0.15">
      <c r="B56" s="30" t="str">
        <f>measures_table[[#Headers],[Distributed generation]]</f>
        <v>Distributed generation</v>
      </c>
      <c r="C56" s="31"/>
      <c r="D56" s="48" t="s">
        <v>387</v>
      </c>
      <c r="E56" s="31" t="s">
        <v>957</v>
      </c>
      <c r="F56" s="31" t="s">
        <v>958</v>
      </c>
      <c r="G56" s="31" t="s">
        <v>959</v>
      </c>
    </row>
    <row r="57" spans="2:7" x14ac:dyDescent="0.15">
      <c r="B57" s="16">
        <v>6.1</v>
      </c>
      <c r="C57" s="16" t="str">
        <f>MeasureList!F3</f>
        <v>Install CHP/cogeneration systems</v>
      </c>
      <c r="D57" s="51">
        <v>25</v>
      </c>
      <c r="E57" s="16" t="s">
        <v>990</v>
      </c>
      <c r="F57" s="16" t="s">
        <v>991</v>
      </c>
    </row>
    <row r="58" spans="2:7" x14ac:dyDescent="0.15">
      <c r="B58" s="16">
        <v>6.2</v>
      </c>
      <c r="C58" s="16" t="str">
        <f>MeasureList!F4</f>
        <v>Install fuel cells</v>
      </c>
      <c r="D58" s="76">
        <v>25</v>
      </c>
      <c r="E58" s="16" t="s">
        <v>962</v>
      </c>
    </row>
    <row r="59" spans="2:7" x14ac:dyDescent="0.15">
      <c r="B59" s="16">
        <v>6.3</v>
      </c>
      <c r="C59" s="16" t="str">
        <f>MeasureList!F5</f>
        <v>Install microturbines</v>
      </c>
      <c r="D59" s="51">
        <v>25</v>
      </c>
      <c r="E59" s="16" t="s">
        <v>990</v>
      </c>
      <c r="F59" s="16" t="s">
        <v>991</v>
      </c>
    </row>
    <row r="60" spans="2:7" x14ac:dyDescent="0.15">
      <c r="B60" s="16">
        <v>6.4</v>
      </c>
      <c r="C60" s="16" t="str">
        <f>MeasureList!F6</f>
        <v>Upgrade controls</v>
      </c>
      <c r="D60" s="76">
        <v>25</v>
      </c>
      <c r="E60" s="16" t="s">
        <v>962</v>
      </c>
    </row>
    <row r="61" spans="2:7" x14ac:dyDescent="0.15">
      <c r="B61" s="16">
        <v>6.5</v>
      </c>
      <c r="C61" s="16" t="str">
        <f>MeasureList!F7</f>
        <v>Other</v>
      </c>
      <c r="E61" s="16" t="s">
        <v>962</v>
      </c>
    </row>
    <row r="63" spans="2:7" x14ac:dyDescent="0.15">
      <c r="B63" s="30" t="str">
        <f>measures_table[[#Headers],[Domestic hot water heating]]</f>
        <v>Domestic hot water heating</v>
      </c>
      <c r="C63" s="31"/>
      <c r="D63" s="48" t="s">
        <v>387</v>
      </c>
      <c r="E63" s="31" t="s">
        <v>957</v>
      </c>
      <c r="F63" s="31" t="s">
        <v>958</v>
      </c>
      <c r="G63" s="31" t="s">
        <v>959</v>
      </c>
    </row>
    <row r="64" spans="2:7" x14ac:dyDescent="0.15">
      <c r="B64" s="16">
        <v>7.1</v>
      </c>
      <c r="C64" s="16" t="str">
        <f>MeasureList!G3</f>
        <v>Replace or upgrade central water heater</v>
      </c>
      <c r="D64" s="51">
        <v>15</v>
      </c>
      <c r="E64" s="16" t="s">
        <v>992</v>
      </c>
      <c r="F64" s="16" t="s">
        <v>993</v>
      </c>
    </row>
    <row r="65" spans="2:7" x14ac:dyDescent="0.15">
      <c r="B65" s="16">
        <v>7.2</v>
      </c>
      <c r="C65" s="16" t="str">
        <f>MeasureList!G4</f>
        <v>Replace or upgrade individual water heater</v>
      </c>
      <c r="D65" s="51">
        <v>10</v>
      </c>
      <c r="E65" s="16" t="s">
        <v>970</v>
      </c>
      <c r="F65" s="16" t="s">
        <v>994</v>
      </c>
    </row>
    <row r="66" spans="2:7" x14ac:dyDescent="0.15">
      <c r="B66" s="16">
        <v>7.3</v>
      </c>
      <c r="C66" s="16" t="str">
        <f>MeasureList!G5</f>
        <v>Install solar hot water system</v>
      </c>
      <c r="D66" s="51">
        <v>20</v>
      </c>
      <c r="E66" s="16" t="s">
        <v>992</v>
      </c>
      <c r="F66" s="16" t="s">
        <v>995</v>
      </c>
    </row>
    <row r="67" spans="2:7" x14ac:dyDescent="0.15">
      <c r="B67" s="16">
        <v>7.4</v>
      </c>
      <c r="C67" s="16" t="str">
        <f>MeasureList!G6</f>
        <v>Separate DHW from heating</v>
      </c>
      <c r="D67" s="76">
        <v>20</v>
      </c>
      <c r="E67" s="16" t="s">
        <v>962</v>
      </c>
    </row>
    <row r="68" spans="2:7" x14ac:dyDescent="0.15">
      <c r="B68" s="16">
        <v>7.5</v>
      </c>
      <c r="C68" s="16" t="str">
        <f>MeasureList!G7</f>
        <v>Upgrade controls</v>
      </c>
      <c r="D68" s="51">
        <v>15</v>
      </c>
      <c r="E68" s="16" t="s">
        <v>992</v>
      </c>
      <c r="F68" s="16" t="s">
        <v>996</v>
      </c>
    </row>
    <row r="69" spans="2:7" x14ac:dyDescent="0.15">
      <c r="B69" s="16">
        <v>7.6</v>
      </c>
      <c r="C69" s="16" t="str">
        <f>MeasureList!G8</f>
        <v>Other</v>
      </c>
      <c r="E69" s="16" t="s">
        <v>962</v>
      </c>
    </row>
    <row r="71" spans="2:7" x14ac:dyDescent="0.15">
      <c r="B71" s="30" t="str">
        <f>measures_table[[#Headers],[Electric motors and drives]]</f>
        <v>Electric motors and drives</v>
      </c>
      <c r="C71" s="31"/>
      <c r="D71" s="48" t="s">
        <v>387</v>
      </c>
      <c r="E71" s="31" t="s">
        <v>957</v>
      </c>
      <c r="F71" s="31" t="s">
        <v>958</v>
      </c>
      <c r="G71" s="31" t="s">
        <v>959</v>
      </c>
    </row>
    <row r="72" spans="2:7" x14ac:dyDescent="0.15">
      <c r="B72" s="16">
        <v>8.1</v>
      </c>
      <c r="C72" s="16" t="str">
        <f>MeasureList!H3</f>
        <v>Add drive controls</v>
      </c>
      <c r="D72" s="76">
        <v>15</v>
      </c>
      <c r="E72" s="16" t="s">
        <v>962</v>
      </c>
    </row>
    <row r="73" spans="2:7" x14ac:dyDescent="0.15">
      <c r="B73" s="16">
        <v>8.1999999999999993</v>
      </c>
      <c r="C73" s="16" t="str">
        <f>MeasureList!H4</f>
        <v>Replace with higher efficiency</v>
      </c>
      <c r="D73" s="76">
        <v>15</v>
      </c>
      <c r="E73" s="16" t="s">
        <v>962</v>
      </c>
    </row>
    <row r="74" spans="2:7" x14ac:dyDescent="0.15">
      <c r="B74" s="16">
        <v>8.3000000000000007</v>
      </c>
      <c r="C74" s="16" t="str">
        <f>MeasureList!H5</f>
        <v>Add VSD motor controller</v>
      </c>
      <c r="D74" s="76">
        <v>15</v>
      </c>
      <c r="E74" s="16" t="s">
        <v>962</v>
      </c>
    </row>
    <row r="75" spans="2:7" x14ac:dyDescent="0.15">
      <c r="B75" s="16">
        <v>8.4</v>
      </c>
      <c r="C75" s="16" t="str">
        <f>MeasureList!H6</f>
        <v>Upgrade elevator technology</v>
      </c>
      <c r="D75" s="51">
        <v>15</v>
      </c>
      <c r="E75" s="16" t="s">
        <v>997</v>
      </c>
      <c r="F75" s="16" t="s">
        <v>998</v>
      </c>
    </row>
    <row r="76" spans="2:7" x14ac:dyDescent="0.15">
      <c r="B76" s="16">
        <v>8.5</v>
      </c>
      <c r="C76" s="16" t="str">
        <f>MeasureList!H7</f>
        <v>Other</v>
      </c>
      <c r="E76" s="16" t="s">
        <v>962</v>
      </c>
    </row>
    <row r="78" spans="2:7" x14ac:dyDescent="0.15">
      <c r="B78" s="30" t="str">
        <f>measures_table[[#Headers],[Heating ventilating and air conditioning]]</f>
        <v>Heating ventilating and air conditioning</v>
      </c>
      <c r="C78" s="31"/>
      <c r="D78" s="48" t="s">
        <v>387</v>
      </c>
      <c r="E78" s="31" t="s">
        <v>957</v>
      </c>
      <c r="F78" s="31" t="s">
        <v>958</v>
      </c>
      <c r="G78" s="31" t="s">
        <v>959</v>
      </c>
    </row>
    <row r="79" spans="2:7" x14ac:dyDescent="0.15">
      <c r="B79" s="16">
        <v>9.1</v>
      </c>
      <c r="C79" s="16" t="str">
        <f>MeasureList!I3</f>
        <v>Install smart thermostats</v>
      </c>
      <c r="D79" s="76">
        <v>10</v>
      </c>
      <c r="E79" s="16" t="s">
        <v>962</v>
      </c>
    </row>
    <row r="80" spans="2:7" x14ac:dyDescent="0.15">
      <c r="B80" s="16">
        <v>9.1999999999999993</v>
      </c>
      <c r="C80" s="16" t="str">
        <f>MeasureList!I4</f>
        <v>Install or replace heat pumps</v>
      </c>
      <c r="D80" s="51">
        <v>15</v>
      </c>
      <c r="E80" s="16" t="s">
        <v>970</v>
      </c>
      <c r="F80" s="16" t="s">
        <v>999</v>
      </c>
    </row>
    <row r="81" spans="2:7" x14ac:dyDescent="0.15">
      <c r="B81" s="16">
        <v>9.3000000000000007</v>
      </c>
      <c r="C81" s="16" t="str">
        <f>MeasureList!I5</f>
        <v>Replace split system AC</v>
      </c>
      <c r="D81" s="51">
        <v>15</v>
      </c>
      <c r="E81" s="16" t="s">
        <v>970</v>
      </c>
      <c r="F81" s="16" t="s">
        <v>999</v>
      </c>
    </row>
    <row r="82" spans="2:7" x14ac:dyDescent="0.15">
      <c r="B82" s="16">
        <v>9.4</v>
      </c>
      <c r="C82" s="16" t="str">
        <f>MeasureList!I6</f>
        <v>Replace package units</v>
      </c>
      <c r="D82" s="51">
        <v>20</v>
      </c>
      <c r="E82" s="16" t="s">
        <v>1000</v>
      </c>
      <c r="F82" s="16" t="s">
        <v>1001</v>
      </c>
    </row>
    <row r="83" spans="2:7" x14ac:dyDescent="0.15">
      <c r="B83" s="16">
        <v>9.5</v>
      </c>
      <c r="C83" s="16" t="str">
        <f>MeasureList!I7</f>
        <v>Replace or modify AHU</v>
      </c>
      <c r="D83" s="51">
        <v>20</v>
      </c>
      <c r="E83" s="16" t="s">
        <v>1000</v>
      </c>
      <c r="F83" s="16" t="s">
        <v>1002</v>
      </c>
    </row>
    <row r="84" spans="2:7" x14ac:dyDescent="0.15">
      <c r="B84" s="16">
        <v>9.6</v>
      </c>
      <c r="C84" s="16" t="str">
        <f>MeasureList!I8</f>
        <v>Replace PTACs</v>
      </c>
      <c r="D84" s="51">
        <v>15</v>
      </c>
      <c r="E84" s="16" t="s">
        <v>960</v>
      </c>
      <c r="F84" s="16" t="s">
        <v>1003</v>
      </c>
      <c r="G84" s="16" t="s">
        <v>1004</v>
      </c>
    </row>
    <row r="85" spans="2:7" x14ac:dyDescent="0.15">
      <c r="B85" s="16">
        <v>9.6999999999999993</v>
      </c>
      <c r="C85" s="16" t="str">
        <f>MeasureList!I9</f>
        <v>Replace wall/window AC</v>
      </c>
      <c r="D85" s="51">
        <v>10</v>
      </c>
      <c r="E85" s="16" t="s">
        <v>960</v>
      </c>
      <c r="F85" s="16" t="s">
        <v>1003</v>
      </c>
      <c r="G85" s="16" t="s">
        <v>1004</v>
      </c>
    </row>
    <row r="86" spans="2:7" x14ac:dyDescent="0.15">
      <c r="B86" s="16">
        <v>9.8000000000000007</v>
      </c>
      <c r="C86" s="16" t="str">
        <f>MeasureList!I10</f>
        <v>Add duct insulation</v>
      </c>
      <c r="D86" s="76">
        <v>18</v>
      </c>
      <c r="E86" s="16" t="s">
        <v>1000</v>
      </c>
      <c r="F86" s="16" t="s">
        <v>1005</v>
      </c>
    </row>
    <row r="87" spans="2:7" x14ac:dyDescent="0.15">
      <c r="B87" s="16">
        <v>9.9</v>
      </c>
      <c r="C87" s="16" t="str">
        <f>MeasureList!I11</f>
        <v>Seal ducts</v>
      </c>
      <c r="D87" s="76">
        <v>18</v>
      </c>
      <c r="E87" s="16" t="s">
        <v>1000</v>
      </c>
      <c r="F87" s="16" t="s">
        <v>1006</v>
      </c>
    </row>
    <row r="88" spans="2:7" x14ac:dyDescent="0.15">
      <c r="B88" s="53">
        <v>9.1</v>
      </c>
      <c r="C88" s="16" t="str">
        <f>MeasureList!I12</f>
        <v>Replace exhaust or ventilation fans</v>
      </c>
      <c r="D88" s="51">
        <v>15</v>
      </c>
      <c r="E88" s="16" t="s">
        <v>962</v>
      </c>
    </row>
    <row r="89" spans="2:7" x14ac:dyDescent="0.15">
      <c r="B89" s="16">
        <v>9.11</v>
      </c>
      <c r="C89" s="16" t="str">
        <f>MeasureList!I13</f>
        <v>Upgrade and balance ventilation system</v>
      </c>
      <c r="D89" s="76">
        <v>10</v>
      </c>
      <c r="E89" s="16" t="s">
        <v>962</v>
      </c>
    </row>
    <row r="90" spans="2:7" x14ac:dyDescent="0.15">
      <c r="B90" s="53">
        <v>9.1199999999999992</v>
      </c>
      <c r="C90" s="16" t="str">
        <f>MeasureList!I14</f>
        <v>Install ground source heat pump system</v>
      </c>
      <c r="D90" s="76">
        <v>25</v>
      </c>
      <c r="E90" s="16" t="s">
        <v>990</v>
      </c>
      <c r="F90" s="16" t="s">
        <v>1007</v>
      </c>
      <c r="G90" s="16" t="s">
        <v>1008</v>
      </c>
    </row>
    <row r="91" spans="2:7" x14ac:dyDescent="0.15">
      <c r="B91" s="16">
        <v>9.1300000000000008</v>
      </c>
      <c r="C91" s="16" t="str">
        <f>MeasureList!I15</f>
        <v>Add or replace cooling tower</v>
      </c>
      <c r="D91" s="51">
        <v>25</v>
      </c>
    </row>
    <row r="92" spans="2:7" x14ac:dyDescent="0.15">
      <c r="B92" s="53">
        <v>9.14</v>
      </c>
      <c r="C92" s="16" t="str">
        <f>MeasureList!I16</f>
        <v>Add economizer</v>
      </c>
      <c r="D92" s="76">
        <v>10</v>
      </c>
      <c r="E92" s="16" t="s">
        <v>962</v>
      </c>
    </row>
    <row r="93" spans="2:7" x14ac:dyDescent="0.15">
      <c r="B93" s="16">
        <v>9.15</v>
      </c>
      <c r="C93" s="16" t="str">
        <f>MeasureList!I17</f>
        <v>Add energy recovery</v>
      </c>
      <c r="D93" s="76">
        <v>15</v>
      </c>
      <c r="E93" s="16" t="s">
        <v>988</v>
      </c>
      <c r="F93" s="16" t="s">
        <v>989</v>
      </c>
    </row>
    <row r="94" spans="2:7" x14ac:dyDescent="0.15">
      <c r="B94" s="53">
        <v>9.16</v>
      </c>
      <c r="C94" s="16" t="str">
        <f>MeasureList!I18</f>
        <v>Other heating</v>
      </c>
      <c r="E94" s="16" t="s">
        <v>962</v>
      </c>
    </row>
    <row r="95" spans="2:7" x14ac:dyDescent="0.15">
      <c r="B95" s="16">
        <v>9.17</v>
      </c>
      <c r="C95" s="16" t="str">
        <f>MeasureList!I19</f>
        <v>Other cooling</v>
      </c>
      <c r="E95" s="16" t="s">
        <v>962</v>
      </c>
    </row>
    <row r="96" spans="2:7" x14ac:dyDescent="0.15">
      <c r="B96" s="53">
        <v>9.18</v>
      </c>
      <c r="C96" s="16" t="str">
        <f>MeasureList!I20</f>
        <v>Other ventilation</v>
      </c>
      <c r="E96" s="16" t="s">
        <v>962</v>
      </c>
    </row>
    <row r="97" spans="2:7" x14ac:dyDescent="0.15">
      <c r="B97" s="53">
        <v>9.19</v>
      </c>
      <c r="C97" s="16" t="str">
        <f>MeasureList!I21</f>
        <v>Other distribution</v>
      </c>
      <c r="E97" s="16" t="s">
        <v>962</v>
      </c>
    </row>
    <row r="98" spans="2:7" x14ac:dyDescent="0.15">
      <c r="B98" s="53">
        <v>9.1999999999999993</v>
      </c>
      <c r="C98" s="16" t="str">
        <f>MeasureList!I22</f>
        <v>Other</v>
      </c>
      <c r="E98" s="16" t="s">
        <v>962</v>
      </c>
    </row>
    <row r="100" spans="2:7" x14ac:dyDescent="0.15">
      <c r="B100" s="30" t="str">
        <f>measures_table[[#Headers],[Lighting]]</f>
        <v>Lighting</v>
      </c>
      <c r="C100" s="31"/>
      <c r="D100" s="48" t="s">
        <v>387</v>
      </c>
      <c r="E100" s="31" t="s">
        <v>957</v>
      </c>
      <c r="F100" s="31" t="s">
        <v>958</v>
      </c>
      <c r="G100" s="31" t="s">
        <v>959</v>
      </c>
    </row>
    <row r="101" spans="2:7" x14ac:dyDescent="0.15">
      <c r="B101" s="16">
        <v>10.1</v>
      </c>
      <c r="C101" s="16" t="str">
        <f>MeasureList!J3</f>
        <v>Upgrade whole building lighting</v>
      </c>
      <c r="D101" s="51">
        <v>15</v>
      </c>
      <c r="E101" s="16" t="s">
        <v>1009</v>
      </c>
      <c r="F101" s="16" t="s">
        <v>1010</v>
      </c>
    </row>
    <row r="102" spans="2:7" x14ac:dyDescent="0.15">
      <c r="B102" s="16">
        <v>10.199999999999999</v>
      </c>
      <c r="C102" s="16" t="str">
        <f>MeasureList!J4</f>
        <v>Upgrade common area lighting</v>
      </c>
      <c r="D102" s="51">
        <v>15</v>
      </c>
      <c r="E102" s="16" t="s">
        <v>1009</v>
      </c>
      <c r="F102" s="16" t="s">
        <v>1010</v>
      </c>
    </row>
    <row r="103" spans="2:7" x14ac:dyDescent="0.15">
      <c r="B103" s="16">
        <v>10.3</v>
      </c>
      <c r="C103" s="16" t="str">
        <f>MeasureList!J5</f>
        <v>Upgrade exterior lighting</v>
      </c>
      <c r="D103" s="51">
        <v>10</v>
      </c>
      <c r="E103" s="16" t="s">
        <v>1011</v>
      </c>
      <c r="F103" s="16" t="s">
        <v>1012</v>
      </c>
      <c r="G103" s="16" t="s">
        <v>1013</v>
      </c>
    </row>
    <row r="104" spans="2:7" x14ac:dyDescent="0.15">
      <c r="B104" s="16">
        <v>10.4</v>
      </c>
      <c r="C104" s="16" t="str">
        <f>MeasureList!J6</f>
        <v>Upgrade in-unit lighting</v>
      </c>
      <c r="D104" s="51">
        <v>15</v>
      </c>
      <c r="E104" s="16" t="s">
        <v>1009</v>
      </c>
      <c r="F104" s="16" t="s">
        <v>1010</v>
      </c>
    </row>
    <row r="105" spans="2:7" x14ac:dyDescent="0.15">
      <c r="B105" s="16">
        <v>10.5</v>
      </c>
      <c r="C105" s="16" t="str">
        <f>MeasureList!J7</f>
        <v>Install sensors/controls</v>
      </c>
      <c r="D105" s="76">
        <v>10</v>
      </c>
      <c r="E105" s="16" t="s">
        <v>962</v>
      </c>
    </row>
    <row r="106" spans="2:7" x14ac:dyDescent="0.15">
      <c r="B106" s="16">
        <v>10.6</v>
      </c>
      <c r="C106" s="16" t="str">
        <f>MeasureList!J8</f>
        <v>Other</v>
      </c>
      <c r="E106" s="16" t="s">
        <v>962</v>
      </c>
    </row>
    <row r="108" spans="2:7" x14ac:dyDescent="0.15">
      <c r="B108" s="30" t="str">
        <f>measures_table[[#Headers],[Renewable energy systems]]</f>
        <v>Renewable energy systems</v>
      </c>
      <c r="C108" s="31"/>
      <c r="D108" s="48" t="s">
        <v>387</v>
      </c>
      <c r="E108" s="31" t="s">
        <v>957</v>
      </c>
      <c r="F108" s="31" t="s">
        <v>958</v>
      </c>
      <c r="G108" s="31" t="s">
        <v>959</v>
      </c>
    </row>
    <row r="109" spans="2:7" x14ac:dyDescent="0.15">
      <c r="B109" s="16">
        <v>11.1</v>
      </c>
      <c r="C109" s="16" t="str">
        <f>MeasureList!K3</f>
        <v>Install photovoltaic system</v>
      </c>
      <c r="D109" s="76">
        <v>25</v>
      </c>
      <c r="E109" s="16" t="s">
        <v>962</v>
      </c>
    </row>
    <row r="110" spans="2:7" x14ac:dyDescent="0.15">
      <c r="B110" s="16">
        <v>11.2</v>
      </c>
      <c r="C110" s="16" t="str">
        <f>MeasureList!K4</f>
        <v>Install photovoltaic system with battery storage</v>
      </c>
      <c r="D110" s="76">
        <v>25</v>
      </c>
    </row>
    <row r="111" spans="2:7" x14ac:dyDescent="0.15">
      <c r="B111" s="16">
        <v>11.3</v>
      </c>
      <c r="C111" s="16" t="str">
        <f>MeasureList!K5</f>
        <v>Install battery storage</v>
      </c>
      <c r="D111" s="76">
        <v>25</v>
      </c>
    </row>
    <row r="112" spans="2:7" x14ac:dyDescent="0.15">
      <c r="B112" s="16">
        <v>11.4</v>
      </c>
      <c r="C112" s="16" t="str">
        <f>MeasureList!K6</f>
        <v>Install wind energy system</v>
      </c>
      <c r="D112" s="76">
        <v>25</v>
      </c>
      <c r="E112" s="16" t="s">
        <v>962</v>
      </c>
    </row>
    <row r="113" spans="2:7" x14ac:dyDescent="0.15">
      <c r="B113" s="16">
        <v>11.5</v>
      </c>
      <c r="C113" s="16" t="str">
        <f>MeasureList!K7</f>
        <v>Upgrade controls</v>
      </c>
      <c r="D113" s="76">
        <v>25</v>
      </c>
      <c r="E113" s="16" t="s">
        <v>962</v>
      </c>
    </row>
    <row r="114" spans="2:7" x14ac:dyDescent="0.15">
      <c r="B114" s="16">
        <v>11.6</v>
      </c>
      <c r="C114" s="16" t="str">
        <f>MeasureList!K8</f>
        <v>Other</v>
      </c>
      <c r="E114" s="16" t="s">
        <v>962</v>
      </c>
    </row>
    <row r="116" spans="2:7" x14ac:dyDescent="0.15">
      <c r="B116" s="30" t="str">
        <f>measures_table[[#Headers],[Water and sewer conservation]]</f>
        <v>Water and sewer conservation</v>
      </c>
      <c r="C116" s="31"/>
      <c r="D116" s="48" t="s">
        <v>387</v>
      </c>
      <c r="E116" s="31" t="s">
        <v>957</v>
      </c>
      <c r="F116" s="31" t="s">
        <v>958</v>
      </c>
      <c r="G116" s="31" t="s">
        <v>959</v>
      </c>
    </row>
    <row r="117" spans="2:7" x14ac:dyDescent="0.15">
      <c r="B117" s="16">
        <v>12.1</v>
      </c>
      <c r="C117" s="16" t="str">
        <f>MeasureList!L3</f>
        <v>Install WaterSense low-flush toilets</v>
      </c>
      <c r="D117" s="55">
        <v>50</v>
      </c>
      <c r="E117" s="16" t="s">
        <v>963</v>
      </c>
      <c r="F117" s="16" t="s">
        <v>1014</v>
      </c>
    </row>
    <row r="118" spans="2:7" x14ac:dyDescent="0.15">
      <c r="B118" s="16">
        <v>12.2</v>
      </c>
      <c r="C118" s="16" t="str">
        <f>MeasureList!L4</f>
        <v>Install WaterSense low-flow bath faucets/aerators</v>
      </c>
      <c r="D118" s="55">
        <v>17.5</v>
      </c>
      <c r="E118" s="16" t="s">
        <v>963</v>
      </c>
      <c r="F118" s="16" t="s">
        <v>1015</v>
      </c>
    </row>
    <row r="119" spans="2:7" x14ac:dyDescent="0.15">
      <c r="B119" s="16">
        <v>12.3</v>
      </c>
      <c r="C119" s="16" t="str">
        <f>MeasureList!L5</f>
        <v>Install low-flow kitchen faucets/aerators</v>
      </c>
      <c r="D119" s="55">
        <v>17.5</v>
      </c>
      <c r="E119" s="16" t="s">
        <v>963</v>
      </c>
      <c r="F119" s="16" t="s">
        <v>1015</v>
      </c>
    </row>
    <row r="120" spans="2:7" x14ac:dyDescent="0.15">
      <c r="B120" s="16">
        <v>12.4</v>
      </c>
      <c r="C120" s="16" t="str">
        <f>MeasureList!L6</f>
        <v>Install WaterSense low-flow showerheads</v>
      </c>
      <c r="D120" s="55">
        <v>17.5</v>
      </c>
      <c r="E120" s="16" t="s">
        <v>963</v>
      </c>
      <c r="F120" s="16" t="s">
        <v>1015</v>
      </c>
    </row>
    <row r="121" spans="2:7" x14ac:dyDescent="0.15">
      <c r="B121" s="16">
        <v>12.5</v>
      </c>
      <c r="C121" s="16" t="str">
        <f>MeasureList!L7</f>
        <v>Install low-flow fixtures</v>
      </c>
      <c r="D121" s="55">
        <v>17.5</v>
      </c>
      <c r="E121" s="16" t="s">
        <v>963</v>
      </c>
      <c r="F121" s="16" t="s">
        <v>1015</v>
      </c>
    </row>
    <row r="122" spans="2:7" x14ac:dyDescent="0.15">
      <c r="B122" s="16">
        <v>12.6</v>
      </c>
      <c r="C122" s="16" t="str">
        <f>MeasureList!L8</f>
        <v>Implement water efficient irrigation</v>
      </c>
      <c r="D122" s="76">
        <v>10</v>
      </c>
      <c r="E122" s="16" t="s">
        <v>962</v>
      </c>
    </row>
    <row r="123" spans="2:7" x14ac:dyDescent="0.15">
      <c r="B123" s="16">
        <v>12.7</v>
      </c>
      <c r="C123" s="16" t="str">
        <f>MeasureList!L9</f>
        <v>Install pool cover</v>
      </c>
      <c r="D123" s="76">
        <v>5</v>
      </c>
      <c r="E123" s="16" t="s">
        <v>962</v>
      </c>
    </row>
    <row r="124" spans="2:7" x14ac:dyDescent="0.15">
      <c r="B124" s="16">
        <v>12.8</v>
      </c>
      <c r="C124" s="16" t="str">
        <f>MeasureList!L10</f>
        <v>Install thermostatic showerhead valves and/or tub diverters</v>
      </c>
      <c r="D124" s="76">
        <v>5</v>
      </c>
      <c r="E124" s="16" t="s">
        <v>962</v>
      </c>
    </row>
    <row r="125" spans="2:7" x14ac:dyDescent="0.15">
      <c r="B125" s="16">
        <v>12.9</v>
      </c>
      <c r="C125" s="16" t="str">
        <f>MeasureList!L11</f>
        <v>Upgrade controls</v>
      </c>
      <c r="D125" s="76">
        <v>10</v>
      </c>
      <c r="E125" s="16" t="s">
        <v>962</v>
      </c>
    </row>
    <row r="126" spans="2:7" x14ac:dyDescent="0.15">
      <c r="B126" s="88">
        <v>12.1</v>
      </c>
      <c r="C126" s="16" t="str">
        <f>MeasureList!L12</f>
        <v>Other</v>
      </c>
      <c r="E126" s="16" t="s">
        <v>962</v>
      </c>
    </row>
    <row r="128" spans="2:7" x14ac:dyDescent="0.15">
      <c r="B128" s="30" t="str">
        <f>measures_table[[#Headers],[Water and steam distribution]]</f>
        <v>Water and steam distribution</v>
      </c>
      <c r="C128" s="31"/>
      <c r="D128" s="48" t="s">
        <v>387</v>
      </c>
      <c r="E128" s="31" t="s">
        <v>957</v>
      </c>
      <c r="F128" s="31" t="s">
        <v>958</v>
      </c>
      <c r="G128" s="31" t="s">
        <v>959</v>
      </c>
    </row>
    <row r="129" spans="2:7" x14ac:dyDescent="0.15">
      <c r="B129" s="16">
        <v>13.1</v>
      </c>
      <c r="C129" s="16" t="str">
        <f>MeasureList!M3</f>
        <v>Add pipe insulation</v>
      </c>
      <c r="D129" s="76">
        <v>10</v>
      </c>
      <c r="E129" s="16" t="s">
        <v>962</v>
      </c>
    </row>
    <row r="130" spans="2:7" x14ac:dyDescent="0.15">
      <c r="B130" s="16">
        <v>13.2</v>
      </c>
      <c r="C130" s="16" t="str">
        <f>MeasureList!M4</f>
        <v>Add tank insulation</v>
      </c>
      <c r="D130" s="76">
        <v>10</v>
      </c>
    </row>
    <row r="131" spans="2:7" x14ac:dyDescent="0.15">
      <c r="B131" s="16">
        <v>13.3</v>
      </c>
      <c r="C131" s="16" t="str">
        <f>MeasureList!M5</f>
        <v>Replace with higher efficiency pump</v>
      </c>
      <c r="D131" s="76">
        <v>15</v>
      </c>
      <c r="E131" s="16" t="s">
        <v>962</v>
      </c>
    </row>
    <row r="132" spans="2:7" x14ac:dyDescent="0.15">
      <c r="B132" s="16">
        <v>13.4</v>
      </c>
      <c r="C132" s="16" t="str">
        <f>MeasureList!M6</f>
        <v>Replace with variable speed pump</v>
      </c>
      <c r="D132" s="76">
        <v>15</v>
      </c>
      <c r="E132" s="16" t="s">
        <v>962</v>
      </c>
    </row>
    <row r="133" spans="2:7" x14ac:dyDescent="0.15">
      <c r="B133" s="16">
        <v>13.5</v>
      </c>
      <c r="C133" s="16" t="str">
        <f>MeasureList!M7</f>
        <v>Add recirculating pumps</v>
      </c>
      <c r="D133" s="55">
        <v>15</v>
      </c>
      <c r="E133" s="16" t="s">
        <v>992</v>
      </c>
      <c r="F133" s="16" t="s">
        <v>1016</v>
      </c>
    </row>
    <row r="134" spans="2:7" x14ac:dyDescent="0.15">
      <c r="B134" s="16">
        <v>13.6</v>
      </c>
      <c r="C134" s="16" t="str">
        <f>MeasureList!M8</f>
        <v>Balance distribution system</v>
      </c>
      <c r="D134" s="76">
        <v>10</v>
      </c>
      <c r="E134" s="16" t="s">
        <v>962</v>
      </c>
    </row>
    <row r="135" spans="2:7" x14ac:dyDescent="0.15">
      <c r="B135" s="16">
        <v>13.7</v>
      </c>
      <c r="C135" s="16" t="str">
        <f>MeasureList!M9</f>
        <v>Replace steam traps</v>
      </c>
      <c r="D135" s="76">
        <v>10</v>
      </c>
      <c r="E135" s="16" t="s">
        <v>962</v>
      </c>
    </row>
    <row r="136" spans="2:7" x14ac:dyDescent="0.15">
      <c r="B136" s="16">
        <v>13.8</v>
      </c>
      <c r="C136" s="16" t="str">
        <f>MeasureList!M10</f>
        <v>Install thermostatic radiator valves</v>
      </c>
      <c r="D136" s="76">
        <v>10</v>
      </c>
      <c r="E136" s="16" t="s">
        <v>962</v>
      </c>
    </row>
    <row r="137" spans="2:7" x14ac:dyDescent="0.15">
      <c r="B137" s="16">
        <v>13.9</v>
      </c>
      <c r="C137" s="16" t="str">
        <f>MeasureList!M11</f>
        <v>Install or replace condensate return system</v>
      </c>
      <c r="D137" s="51">
        <v>25</v>
      </c>
      <c r="E137" s="16" t="s">
        <v>992</v>
      </c>
      <c r="F137" s="16" t="s">
        <v>1017</v>
      </c>
    </row>
    <row r="138" spans="2:7" x14ac:dyDescent="0.15">
      <c r="B138" s="53">
        <v>13.1</v>
      </c>
      <c r="C138" s="16" t="str">
        <f>MeasureList!M12</f>
        <v>Add energy recovery</v>
      </c>
      <c r="D138" s="76">
        <v>15</v>
      </c>
      <c r="E138" s="16" t="s">
        <v>962</v>
      </c>
    </row>
    <row r="139" spans="2:7" x14ac:dyDescent="0.15">
      <c r="B139" s="16">
        <v>13.11</v>
      </c>
      <c r="C139" s="16" t="str">
        <f>MeasureList!M13</f>
        <v>Upgrade controls</v>
      </c>
      <c r="D139" s="76">
        <v>10</v>
      </c>
      <c r="E139" s="16" t="s">
        <v>962</v>
      </c>
    </row>
    <row r="140" spans="2:7" x14ac:dyDescent="0.15">
      <c r="B140" s="16">
        <v>13.12</v>
      </c>
      <c r="C140" s="16" t="str">
        <f>MeasureList!M14</f>
        <v>Other</v>
      </c>
      <c r="E140" s="16" t="s">
        <v>962</v>
      </c>
    </row>
    <row r="142" spans="2:7" x14ac:dyDescent="0.15">
      <c r="B142" s="30" t="str">
        <f>measures_table[[#Headers],[Uncategorized]]</f>
        <v>Uncategorized</v>
      </c>
      <c r="C142" s="31"/>
      <c r="D142" s="48" t="s">
        <v>387</v>
      </c>
      <c r="E142" s="31" t="s">
        <v>957</v>
      </c>
      <c r="F142" s="31" t="s">
        <v>958</v>
      </c>
      <c r="G142" s="31" t="s">
        <v>959</v>
      </c>
    </row>
    <row r="143" spans="2:7" x14ac:dyDescent="0.15">
      <c r="B143" s="16">
        <v>14.1</v>
      </c>
      <c r="C143" s="16" t="str">
        <f>MeasureList!N3</f>
        <v>Other</v>
      </c>
      <c r="E143" s="16" t="s">
        <v>962</v>
      </c>
    </row>
  </sheetData>
  <mergeCells count="1">
    <mergeCell ref="B3:K3"/>
  </mergeCells>
  <pageMargins left="0.7" right="0.7" top="0.75" bottom="0.75" header="0.3" footer="0.3"/>
  <pageSetup paperSize="5" scale="79" orientation="portrait" horizontalDpi="300" verticalDpi="300" r:id="rId1"/>
  <headerFooter>
    <oddFooter>&amp;L&amp;"Arial,Regular"May, 2017_x000D_&amp;1#&amp;"Calibri"&amp;10&amp;K000000 Fannie Mae 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pageSetUpPr autoPageBreaks="0"/>
  </sheetPr>
  <dimension ref="B1:K61"/>
  <sheetViews>
    <sheetView showGridLines="0" zoomScale="90" zoomScaleNormal="90" workbookViewId="0"/>
  </sheetViews>
  <sheetFormatPr baseColWidth="10" defaultColWidth="9.33203125" defaultRowHeight="11" x14ac:dyDescent="0.15"/>
  <cols>
    <col min="1" max="1" width="2.5" style="109" customWidth="1"/>
    <col min="2" max="2" width="1.5" style="109" customWidth="1"/>
    <col min="3" max="3" width="7.33203125" style="110" customWidth="1"/>
    <col min="4" max="4" width="13.5" style="109" customWidth="1"/>
    <col min="5" max="5" width="31.33203125" style="109" customWidth="1"/>
    <col min="6" max="6" width="81.5" style="109" customWidth="1"/>
    <col min="7" max="7" width="71.33203125" style="109" customWidth="1"/>
    <col min="8" max="8" width="12.1640625" style="109" customWidth="1"/>
    <col min="9" max="9" width="12.5" style="109" customWidth="1"/>
    <col min="10" max="10" width="11.6640625" style="109" customWidth="1"/>
    <col min="11" max="16384" width="9.33203125" style="109"/>
  </cols>
  <sheetData>
    <row r="1" spans="2:11" s="92" customFormat="1" ht="23.25" customHeight="1" x14ac:dyDescent="0.2">
      <c r="B1" s="90" t="s">
        <v>1</v>
      </c>
      <c r="C1" s="91"/>
      <c r="D1" s="91"/>
      <c r="E1" s="91"/>
      <c r="F1" s="91"/>
      <c r="G1" s="91"/>
      <c r="H1" s="91"/>
      <c r="K1" s="91"/>
    </row>
    <row r="2" spans="2:11" s="92" customFormat="1" ht="15" customHeight="1" x14ac:dyDescent="0.2">
      <c r="C2" s="91"/>
      <c r="D2" s="91"/>
      <c r="E2" s="91"/>
      <c r="F2" s="91"/>
      <c r="G2" s="91"/>
      <c r="H2" s="91"/>
      <c r="K2" s="91"/>
    </row>
    <row r="3" spans="2:11" s="92" customFormat="1" ht="25" x14ac:dyDescent="0.3">
      <c r="B3" s="107" t="s">
        <v>85</v>
      </c>
      <c r="F3" s="91"/>
    </row>
    <row r="4" spans="2:11" s="92" customFormat="1" ht="16.5" customHeight="1" x14ac:dyDescent="0.2">
      <c r="B4" s="108" t="s">
        <v>86</v>
      </c>
      <c r="F4" s="91"/>
    </row>
    <row r="5" spans="2:11" x14ac:dyDescent="0.15">
      <c r="C5" s="109"/>
    </row>
    <row r="6" spans="2:11" ht="23.25" customHeight="1" x14ac:dyDescent="0.25">
      <c r="B6" s="147" t="s">
        <v>87</v>
      </c>
      <c r="E6" s="182"/>
    </row>
    <row r="7" spans="2:11" ht="9" customHeight="1" x14ac:dyDescent="0.15">
      <c r="C7" s="183"/>
    </row>
    <row r="8" spans="2:11" ht="19.5" customHeight="1" x14ac:dyDescent="0.15">
      <c r="C8" s="844" t="s">
        <v>88</v>
      </c>
      <c r="D8" s="845"/>
      <c r="E8" s="746" t="s">
        <v>89</v>
      </c>
      <c r="F8" s="184" t="s">
        <v>90</v>
      </c>
      <c r="G8" s="185" t="s">
        <v>91</v>
      </c>
    </row>
    <row r="9" spans="2:11" ht="45" customHeight="1" x14ac:dyDescent="0.15">
      <c r="C9" s="846" t="s">
        <v>92</v>
      </c>
      <c r="D9" s="847"/>
      <c r="E9" s="186" t="s">
        <v>93</v>
      </c>
      <c r="F9" s="187" t="str">
        <f>IF('Input-Property'!I46="","",'Input-Property'!I46)&amp;IF('Input-Property'!I52="","",'Input-Property'!I52)</f>
        <v/>
      </c>
      <c r="G9" s="188"/>
    </row>
    <row r="10" spans="2:11" ht="36" customHeight="1" x14ac:dyDescent="0.15">
      <c r="C10" s="846" t="s">
        <v>94</v>
      </c>
      <c r="D10" s="847"/>
      <c r="E10" s="186" t="s">
        <v>95</v>
      </c>
      <c r="F10" s="187" t="str">
        <f>IF('Input-Utilities'!P10="","",'Input-Utilities'!P10)</f>
        <v/>
      </c>
      <c r="G10" s="188"/>
    </row>
    <row r="11" spans="2:11" ht="36" customHeight="1" x14ac:dyDescent="0.15">
      <c r="C11" s="846" t="s">
        <v>94</v>
      </c>
      <c r="D11" s="847"/>
      <c r="E11" s="189" t="s">
        <v>96</v>
      </c>
      <c r="F11" s="187" t="str">
        <f>IF('Input-Utilities'!P11="","",'Input-Utilities'!P11)&amp;IF('Input-Utilities'!P12="","",'Input-Utilities'!P12)</f>
        <v/>
      </c>
      <c r="G11" s="188"/>
    </row>
    <row r="12" spans="2:11" ht="36" customHeight="1" x14ac:dyDescent="0.15">
      <c r="C12" s="846" t="s">
        <v>94</v>
      </c>
      <c r="D12" s="847"/>
      <c r="E12" s="189" t="s">
        <v>97</v>
      </c>
      <c r="F12" s="187" t="str">
        <f>IF('Input-Utilities'!P13="","",'Input-Utilities'!P13)</f>
        <v/>
      </c>
      <c r="G12" s="188"/>
    </row>
    <row r="13" spans="2:11" ht="36" customHeight="1" x14ac:dyDescent="0.15">
      <c r="C13" s="846" t="s">
        <v>94</v>
      </c>
      <c r="D13" s="847"/>
      <c r="E13" s="189" t="s">
        <v>98</v>
      </c>
      <c r="F13" s="187" t="str">
        <f>IF('Input-Utilities'!P14="","",'Input-Utilities'!P14)</f>
        <v/>
      </c>
      <c r="G13" s="188"/>
    </row>
    <row r="14" spans="2:11" ht="65" customHeight="1" x14ac:dyDescent="0.15">
      <c r="C14" s="846" t="s">
        <v>94</v>
      </c>
      <c r="D14" s="847"/>
      <c r="E14" s="189" t="s">
        <v>99</v>
      </c>
      <c r="F14" s="187" t="str">
        <f>IF(COUNTIF('Input-Utilities'!P24:P27,"")&lt;4, "Issues with tenant billing method or data source for one or more utilities - see Utilities tab for alert details. ","")&amp;IF(COUNTIF('Input-Utilities'!P30:P33,"")&lt;4, "Payer for one or more in-unit utilities does not match historical costs provided - see Utilities tab for alert details. ","")</f>
        <v/>
      </c>
      <c r="G14" s="188"/>
    </row>
    <row r="15" spans="2:11" ht="36" customHeight="1" x14ac:dyDescent="0.15">
      <c r="C15" s="842" t="s">
        <v>94</v>
      </c>
      <c r="D15" s="843"/>
      <c r="E15" s="189" t="s">
        <v>100</v>
      </c>
      <c r="F15" s="190" t="str">
        <f>IF(OR('Input-Utilities'!P44&lt;&gt;"", 'Input-Utilities'!P41&lt;&gt;"", 'Input-Utilities'!P42&lt;&gt;"", 'Input-Utilities'!P43&lt;&gt;""), "Seasonal energy usage breakdown conflicts with reported consumption - See Utilities tab for alert details.", "")</f>
        <v/>
      </c>
      <c r="G15" s="191"/>
    </row>
    <row r="16" spans="2:11" ht="56.25" customHeight="1" x14ac:dyDescent="0.15">
      <c r="C16" s="842" t="s">
        <v>94</v>
      </c>
      <c r="D16" s="843"/>
      <c r="E16" s="189" t="s">
        <v>101</v>
      </c>
      <c r="F16" s="192" t="str">
        <f>IF('Input-Utilities'!P51="","",'Input-Utilities'!P51)</f>
        <v/>
      </c>
      <c r="G16" s="193"/>
    </row>
    <row r="17" spans="2:8" ht="85.25" customHeight="1" x14ac:dyDescent="0.15">
      <c r="C17" s="842" t="s">
        <v>102</v>
      </c>
      <c r="D17" s="843"/>
      <c r="E17" s="189" t="s">
        <v>103</v>
      </c>
      <c r="F17" s="190" t="str">
        <f>'Input-WaterCalc'!O13&amp;'Input-WaterCalc'!O15&amp;'Input-WaterCalc'!O17&amp;'Input-WaterCalc'!O19&amp;'Input-WaterCalc'!O21&amp;'Input-WaterCalc'!O25&amp;'Input-WaterCalc'!O51&amp;'Input-WaterCalc'!O34&amp;'Input-WaterCalc'!O35&amp;'Input-WaterCalc'!O36&amp;'Input-WaterCalc'!O37&amp;'Input-WaterCalc'!O38&amp;'Input-WaterCalc'!O39&amp;'Input-WaterCalc'!O40</f>
        <v xml:space="preserve">Ensure proposed toilet flush rate is appropriate for property application to maintain product performance. </v>
      </c>
      <c r="G17" s="191" t="s">
        <v>1045</v>
      </c>
    </row>
    <row r="18" spans="2:8" ht="81" customHeight="1" x14ac:dyDescent="0.15">
      <c r="C18" s="842" t="s">
        <v>104</v>
      </c>
      <c r="D18" s="843"/>
      <c r="E18" s="189" t="s">
        <v>105</v>
      </c>
      <c r="F18" s="190" t="str">
        <f>EWEMQC!D14&amp;EWEMQC!D15&amp;EWEMQC!D16&amp;EWEMQC!D17&amp;EWEMQC!D18&amp;EWEMQC!D19&amp;EWEMQC!D20&amp;EWEMQC!D21&amp;EWEMQC!D22</f>
        <v/>
      </c>
      <c r="G18" s="191"/>
    </row>
    <row r="19" spans="2:8" ht="85.25" customHeight="1" x14ac:dyDescent="0.15">
      <c r="C19" s="838" t="s">
        <v>106</v>
      </c>
      <c r="D19" s="839"/>
      <c r="E19" s="693" t="s">
        <v>107</v>
      </c>
      <c r="F19" s="694" t="str">
        <f>'Input-Electrification'!L23&amp;'Input-Electrification'!L35</f>
        <v/>
      </c>
      <c r="G19" s="695"/>
    </row>
    <row r="20" spans="2:8" ht="16.5" customHeight="1" x14ac:dyDescent="0.15">
      <c r="C20" s="194"/>
      <c r="D20" s="194"/>
      <c r="E20" s="194"/>
      <c r="F20" s="195"/>
      <c r="G20" s="116"/>
    </row>
    <row r="21" spans="2:8" ht="23.25" customHeight="1" x14ac:dyDescent="0.25">
      <c r="B21" s="147" t="s">
        <v>108</v>
      </c>
      <c r="C21" s="109"/>
      <c r="D21" s="100"/>
      <c r="E21" s="100"/>
    </row>
    <row r="22" spans="2:8" ht="8.25" customHeight="1" x14ac:dyDescent="0.25">
      <c r="C22" s="147"/>
      <c r="D22" s="100"/>
      <c r="E22" s="100"/>
      <c r="F22" s="100"/>
    </row>
    <row r="23" spans="2:8" s="92" customFormat="1" ht="24" customHeight="1" x14ac:dyDescent="0.2">
      <c r="C23" s="130" t="s">
        <v>68</v>
      </c>
      <c r="D23" s="848" t="s">
        <v>109</v>
      </c>
      <c r="E23" s="849"/>
      <c r="F23" s="185" t="s">
        <v>90</v>
      </c>
      <c r="G23" s="185" t="s">
        <v>91</v>
      </c>
    </row>
    <row r="24" spans="2:8" s="92" customFormat="1" ht="36" customHeight="1" x14ac:dyDescent="0.2">
      <c r="C24" s="196">
        <v>1</v>
      </c>
      <c r="D24" s="850" t="str">
        <f>IF('Input-EWEMs'!F12="", "", 'Input-EWEMs'!F12)</f>
        <v>Install 129 ENERGY STAR-certified smart thermostats in apartments. Install one thermostat in the living room of each apartment unit.</v>
      </c>
      <c r="E24" s="851"/>
      <c r="F24" s="197" t="str">
        <f ca="1">IFERROR(IF(INDEX(EWEMQC!C$60:C$69,MATCH(C24,EWEMQC!A$60:A$69,0))&lt;&gt;"","ADJUSTED EWEM: ","")&amp;INDEX(EWEMQC!C$60:C$69,MATCH(C24,EWEMQC!A$60:A$69,0))&amp;IF(EWEMQC!C28&lt;&gt;"","RECOMMENDED EWEM: "&amp;EWEMQC!C28,""),EWEMQC!C28)</f>
        <v/>
      </c>
      <c r="G24" s="188"/>
      <c r="H24" s="294"/>
    </row>
    <row r="25" spans="2:8" s="92" customFormat="1" ht="36" customHeight="1" x14ac:dyDescent="0.2">
      <c r="C25" s="198">
        <v>2</v>
      </c>
      <c r="D25" s="840" t="str">
        <f>IF('Input-EWEMs'!F13="", "", 'Input-EWEMs'!F13)</f>
        <v>Install high efficiency heat pumps (10 HSPF, 16 SEER) in apartments to replace existing furnaces and AC units. Equipment must be ENERGY STAR-certified.</v>
      </c>
      <c r="E25" s="841"/>
      <c r="F25" s="197" t="str">
        <f ca="1">IFERROR(IF(INDEX(EWEMQC!C$60:C$69,MATCH(C25,EWEMQC!A$60:A$69,0))&lt;&gt;"","ADJUSTED EWEM: ","")&amp;INDEX(EWEMQC!C$60:C$69,MATCH(C25,EWEMQC!A$60:A$69,0))&amp;IF(EWEMQC!C29&lt;&gt;"","RECOMMENDED EWEM: "&amp;EWEMQC!C29,""),EWEMQC!C29)</f>
        <v/>
      </c>
      <c r="G25" s="191"/>
      <c r="H25" s="294"/>
    </row>
    <row r="26" spans="2:8" s="92" customFormat="1" ht="36" customHeight="1" x14ac:dyDescent="0.2">
      <c r="C26" s="198">
        <v>3</v>
      </c>
      <c r="D26" s="840" t="str">
        <f>IF('Input-EWEMs'!F14="", "", 'Input-EWEMs'!F14)</f>
        <v>Insulate all exposed hot water piping located in the basement mechanical rooms, using foam insulation with an R-value of 3 or above.</v>
      </c>
      <c r="E26" s="841"/>
      <c r="F26" s="197" t="str">
        <f ca="1">IFERROR(IF(INDEX(EWEMQC!C$60:C$69,MATCH(C26,EWEMQC!A$60:A$69,0))&lt;&gt;"","ADJUSTED EWEM: ","")&amp;INDEX(EWEMQC!C$60:C$69,MATCH(C26,EWEMQC!A$60:A$69,0))&amp;IF(EWEMQC!C30&lt;&gt;"","RECOMMENDED EWEM: "&amp;EWEMQC!C30,""),EWEMQC!C30)</f>
        <v/>
      </c>
      <c r="G26" s="191"/>
      <c r="H26" s="294"/>
    </row>
    <row r="27" spans="2:8" s="92" customFormat="1" ht="36" customHeight="1" x14ac:dyDescent="0.2">
      <c r="C27" s="198">
        <v>4</v>
      </c>
      <c r="D27" s="840" t="str">
        <f>IF('Input-EWEMs'!F15="", "", 'Input-EWEMs'!F15)</f>
        <v xml:space="preserve">Upgrade non-LED lighting in all apartments to LED. Refer to HPB report for replacement lighting specifications. </v>
      </c>
      <c r="E27" s="841"/>
      <c r="F27" s="197" t="str">
        <f ca="1">IFERROR(IF(INDEX(EWEMQC!C$60:C$69,MATCH(C27,EWEMQC!A$60:A$69,0))&lt;&gt;"","ADJUSTED EWEM: ","")&amp;INDEX(EWEMQC!C$60:C$69,MATCH(C27,EWEMQC!A$60:A$69,0))&amp;IF(EWEMQC!C31&lt;&gt;"","RECOMMENDED EWEM: "&amp;EWEMQC!C31,""),EWEMQC!C31)</f>
        <v/>
      </c>
      <c r="G27" s="191"/>
      <c r="H27" s="294"/>
    </row>
    <row r="28" spans="2:8" s="92" customFormat="1" ht="36" customHeight="1" x14ac:dyDescent="0.2">
      <c r="C28" s="198">
        <v>5</v>
      </c>
      <c r="D28" s="840" t="str">
        <f>IF('Input-EWEMs'!F16="", "", 'Input-EWEMs'!F16)</f>
        <v xml:space="preserve">Upgrade all lighting in building common areas and exterior to LED. Refer to HPB report for replacement lighting specifications. </v>
      </c>
      <c r="E28" s="841"/>
      <c r="F28" s="197" t="str">
        <f ca="1">IFERROR(IF(INDEX(EWEMQC!C$60:C$69,MATCH(C28,EWEMQC!A$60:A$69,0))&lt;&gt;"","ADJUSTED EWEM: ","")&amp;INDEX(EWEMQC!C$60:C$69,MATCH(C28,EWEMQC!A$60:A$69,0))&amp;IF(EWEMQC!C32&lt;&gt;"","RECOMMENDED EWEM: "&amp;EWEMQC!C32,""),EWEMQC!C32)</f>
        <v/>
      </c>
      <c r="G28" s="191"/>
      <c r="H28" s="294"/>
    </row>
    <row r="29" spans="2:8" s="92" customFormat="1" ht="36" customHeight="1" x14ac:dyDescent="0.2">
      <c r="C29" s="198">
        <v>6</v>
      </c>
      <c r="D29" s="840" t="str">
        <f>IF('Input-EWEMs'!F17="", "", 'Input-EWEMs'!F17)</f>
        <v>Add occupancy sensor controls to the offices, club room, and bathrooms, in the rental office building and all laundry rooms.</v>
      </c>
      <c r="E29" s="841"/>
      <c r="F29" s="197" t="str">
        <f ca="1">IFERROR(IF(INDEX(EWEMQC!C$60:C$69,MATCH(C29,EWEMQC!A$60:A$69,0))&lt;&gt;"","ADJUSTED EWEM: ","")&amp;INDEX(EWEMQC!C$60:C$69,MATCH(C29,EWEMQC!A$60:A$69,0))&amp;IF(EWEMQC!C33&lt;&gt;"","RECOMMENDED EWEM: "&amp;EWEMQC!C33,""),EWEMQC!C33)</f>
        <v/>
      </c>
      <c r="G29" s="191"/>
      <c r="H29" s="294"/>
    </row>
    <row r="30" spans="2:8" s="92" customFormat="1" ht="39" customHeight="1" x14ac:dyDescent="0.2">
      <c r="C30" s="198">
        <v>7</v>
      </c>
      <c r="D30" s="840" t="str">
        <f>IF('Input-EWEMs'!F18="", "", 'Input-EWEMs'!F18)</f>
        <v>Replace all 129 apartment refrigerators with ENERGY STAR-certified models.</v>
      </c>
      <c r="E30" s="841"/>
      <c r="F30" s="197" t="str">
        <f ca="1">IFERROR(IF(INDEX(EWEMQC!C$60:C$69,MATCH(C30,EWEMQC!A$60:A$69,0))&lt;&gt;"","ADJUSTED EWEM: ","")&amp;INDEX(EWEMQC!C$60:C$69,MATCH(C30,EWEMQC!A$60:A$69,0))&amp;IF(EWEMQC!C34&lt;&gt;"","RECOMMENDED EWEM: "&amp;EWEMQC!C34,""),EWEMQC!C34)</f>
        <v xml:space="preserve">Cost is not within expected range. </v>
      </c>
      <c r="G30" s="191" t="s">
        <v>1046</v>
      </c>
      <c r="H30" s="294"/>
    </row>
    <row r="31" spans="2:8" s="92" customFormat="1" ht="36" customHeight="1" x14ac:dyDescent="0.2">
      <c r="C31" s="198">
        <v>8</v>
      </c>
      <c r="D31" s="840" t="str">
        <f>IF('Input-EWEMs'!F19="", "", 'Input-EWEMs'!F19)</f>
        <v>Replace all 129 apartment dishwashers with ENERGY STAR-certified models.</v>
      </c>
      <c r="E31" s="841"/>
      <c r="F31" s="197" t="str">
        <f ca="1">IFERROR(IF(INDEX(EWEMQC!C$60:C$69,MATCH(C31,EWEMQC!A$60:A$69,0))&lt;&gt;"","ADJUSTED EWEM: ","")&amp;INDEX(EWEMQC!C$60:C$69,MATCH(C31,EWEMQC!A$60:A$69,0))&amp;IF(EWEMQC!C35&lt;&gt;"","RECOMMENDED EWEM: "&amp;EWEMQC!C35,""),EWEMQC!C35)</f>
        <v/>
      </c>
      <c r="G31" s="191"/>
      <c r="H31" s="294"/>
    </row>
    <row r="32" spans="2:8" s="92" customFormat="1" ht="36" customHeight="1" x14ac:dyDescent="0.2">
      <c r="C32" s="198">
        <v>9</v>
      </c>
      <c r="D32" s="840" t="str">
        <f>IF('Input-EWEMs'!F20="", "", 'Input-EWEMs'!F20)</f>
        <v>Install 235 low-flow 1.0 GPM WaterSense-certified bathroom faucet aerators.</v>
      </c>
      <c r="E32" s="841"/>
      <c r="F32" s="197" t="str">
        <f ca="1">IFERROR(IF(INDEX(EWEMQC!C$60:C$69,MATCH(C32,EWEMQC!A$60:A$69,0))&lt;&gt;"","ADJUSTED EWEM: ","")&amp;INDEX(EWEMQC!C$60:C$69,MATCH(C32,EWEMQC!A$60:A$69,0))&amp;IF(EWEMQC!C36&lt;&gt;"","RECOMMENDED EWEM: "&amp;EWEMQC!C36,""),EWEMQC!C36)</f>
        <v/>
      </c>
      <c r="G32" s="191"/>
      <c r="H32" s="294"/>
    </row>
    <row r="33" spans="3:8" s="92" customFormat="1" ht="36" customHeight="1" x14ac:dyDescent="0.2">
      <c r="C33" s="198">
        <v>10</v>
      </c>
      <c r="D33" s="840" t="str">
        <f>IF('Input-EWEMs'!F21="", "", 'Input-EWEMs'!F21)</f>
        <v>Install 129 low-flow 1.5 GPM kitchen faucet aerators.</v>
      </c>
      <c r="E33" s="841"/>
      <c r="F33" s="197" t="str">
        <f ca="1">IFERROR(IF(INDEX(EWEMQC!C$60:C$69,MATCH(C33,EWEMQC!A$60:A$69,0))&lt;&gt;"","ADJUSTED EWEM: ","")&amp;INDEX(EWEMQC!C$60:C$69,MATCH(C33,EWEMQC!A$60:A$69,0))&amp;IF(EWEMQC!C37&lt;&gt;"","RECOMMENDED EWEM: "&amp;EWEMQC!C37,""),EWEMQC!C37)</f>
        <v/>
      </c>
      <c r="G33" s="191"/>
      <c r="H33" s="294"/>
    </row>
    <row r="34" spans="3:8" s="92" customFormat="1" ht="36" customHeight="1" x14ac:dyDescent="0.2">
      <c r="C34" s="198">
        <v>11</v>
      </c>
      <c r="D34" s="840" t="str">
        <f>IF('Input-EWEMs'!F22="", "", 'Input-EWEMs'!F22)</f>
        <v>Install 181 low-flow 1.5 GPM WaterSense-certified showerheads.</v>
      </c>
      <c r="E34" s="841"/>
      <c r="F34" s="197" t="str">
        <f ca="1">IFERROR(IF(INDEX(EWEMQC!C$60:C$69,MATCH(C34,EWEMQC!A$60:A$69,0))&lt;&gt;"","ADJUSTED EWEM: ","")&amp;INDEX(EWEMQC!C$60:C$69,MATCH(C34,EWEMQC!A$60:A$69,0))&amp;IF(EWEMQC!C38&lt;&gt;"","RECOMMENDED EWEM: "&amp;EWEMQC!C38,""),EWEMQC!C38)</f>
        <v/>
      </c>
      <c r="G34" s="191"/>
      <c r="H34" s="294"/>
    </row>
    <row r="35" spans="3:8" s="92" customFormat="1" ht="36" customHeight="1" x14ac:dyDescent="0.2">
      <c r="C35" s="198">
        <v>12</v>
      </c>
      <c r="D35" s="840" t="str">
        <f>IF('Input-EWEMs'!F23="", "", 'Input-EWEMs'!F23)</f>
        <v>Install 235 0.8 GPF WaterSense-certified toilets.</v>
      </c>
      <c r="E35" s="841"/>
      <c r="F35" s="197" t="str">
        <f ca="1">IFERROR(IF(INDEX(EWEMQC!C$60:C$69,MATCH(C35,EWEMQC!A$60:A$69,0))&lt;&gt;"","ADJUSTED EWEM: ","")&amp;INDEX(EWEMQC!C$60:C$69,MATCH(C35,EWEMQC!A$60:A$69,0))&amp;IF(EWEMQC!C39&lt;&gt;"","RECOMMENDED EWEM: "&amp;EWEMQC!C39,""),EWEMQC!C39)</f>
        <v xml:space="preserve">Ensure proposed toilet flush rate is appropriate for property application to maintain product performance. </v>
      </c>
      <c r="G35" s="191" t="s">
        <v>1045</v>
      </c>
      <c r="H35" s="294"/>
    </row>
    <row r="36" spans="3:8" s="92" customFormat="1" ht="36" customHeight="1" x14ac:dyDescent="0.2">
      <c r="C36" s="198">
        <v>13</v>
      </c>
      <c r="D36" s="840" t="str">
        <f>IF('Input-EWEMs'!F24="", "", 'Input-EWEMs'!F24)</f>
        <v>Upgrade existing 5-HP continuous-speed pool pump to VSD-controlled pool pump.</v>
      </c>
      <c r="E36" s="841"/>
      <c r="F36" s="197" t="str">
        <f ca="1">IFERROR(IF(INDEX(EWEMQC!C$60:C$69,MATCH(C36,EWEMQC!A$60:A$69,0))&lt;&gt;"","ADJUSTED EWEM: ","")&amp;INDEX(EWEMQC!C$60:C$69,MATCH(C36,EWEMQC!A$60:A$69,0))&amp;IF(EWEMQC!C40&lt;&gt;"","RECOMMENDED EWEM: "&amp;EWEMQC!C40,""),EWEMQC!C40)</f>
        <v/>
      </c>
      <c r="G36" s="191"/>
      <c r="H36" s="294"/>
    </row>
    <row r="37" spans="3:8" s="92" customFormat="1" ht="36" customHeight="1" x14ac:dyDescent="0.2">
      <c r="C37" s="198">
        <v>14</v>
      </c>
      <c r="D37" s="840" t="str">
        <f>IF('Input-EWEMs'!F25="", "", 'Input-EWEMs'!F25)</f>
        <v>Install grid-tied 850.8 kW Solar PV system comprised of 520.8 kW roof-mounted (non-ballasted) and 330 kW canopy-mounted arrays. Selective tree trimming and roof replacement must be included.</v>
      </c>
      <c r="E37" s="841"/>
      <c r="F37" s="197" t="str">
        <f ca="1">IFERROR(IF(INDEX(EWEMQC!C$60:C$69,MATCH(C37,EWEMQC!A$60:A$69,0))&lt;&gt;"","ADJUSTED EWEM: ","")&amp;INDEX(EWEMQC!C$60:C$69,MATCH(C37,EWEMQC!A$60:A$69,0))&amp;IF(EWEMQC!C41&lt;&gt;"","RECOMMENDED EWEM: "&amp;EWEMQC!C41,""),EWEMQC!C41)</f>
        <v/>
      </c>
      <c r="G37" s="191"/>
      <c r="H37" s="294"/>
    </row>
    <row r="38" spans="3:8" s="166" customFormat="1" ht="36" customHeight="1" x14ac:dyDescent="0.2">
      <c r="C38" s="198">
        <v>15</v>
      </c>
      <c r="D38" s="840" t="str">
        <f>IF('Input-EWEMs'!F26="", "", 'Input-EWEMs'!F26)</f>
        <v>Install foam roof overlap on top of existing roof for building A,B,E,F,G,H,I and leasing office. Must be included if EWEM "install photovoltaic system" is selected.</v>
      </c>
      <c r="E38" s="841"/>
      <c r="F38" s="197" t="str">
        <f ca="1">IFERROR(IF(INDEX(EWEMQC!C$60:C$69,MATCH(C38,EWEMQC!A$60:A$69,0))&lt;&gt;"","ADJUSTED EWEM: ","")&amp;INDEX(EWEMQC!C$60:C$69,MATCH(C38,EWEMQC!A$60:A$69,0))&amp;IF(EWEMQC!C42&lt;&gt;"","RECOMMENDED EWEM: "&amp;EWEMQC!C42,""),EWEMQC!C42)</f>
        <v/>
      </c>
      <c r="G38" s="199"/>
      <c r="H38" s="294"/>
    </row>
    <row r="39" spans="3:8" s="92" customFormat="1" ht="36" customHeight="1" x14ac:dyDescent="0.2">
      <c r="C39" s="198">
        <v>16</v>
      </c>
      <c r="D39" s="840" t="str">
        <f>IF('Input-EWEMs'!F27="", "", 'Input-EWEMs'!F27)</f>
        <v/>
      </c>
      <c r="E39" s="841"/>
      <c r="F39" s="197" t="str">
        <f ca="1">IFERROR(IF(INDEX(EWEMQC!C$60:C$69,MATCH(C39,EWEMQC!A$60:A$69,0))&lt;&gt;"","ADJUSTED EWEM: ","")&amp;INDEX(EWEMQC!C$60:C$69,MATCH(C39,EWEMQC!A$60:A$69,0))&amp;IF(EWEMQC!C43&lt;&gt;"","RECOMMENDED EWEM: "&amp;EWEMQC!C43,""),EWEMQC!C43)</f>
        <v/>
      </c>
      <c r="G39" s="191"/>
      <c r="H39" s="294"/>
    </row>
    <row r="40" spans="3:8" s="92" customFormat="1" ht="36" customHeight="1" x14ac:dyDescent="0.2">
      <c r="C40" s="198">
        <v>17</v>
      </c>
      <c r="D40" s="840" t="str">
        <f>IF('Input-EWEMs'!F28="", "", 'Input-EWEMs'!F28)</f>
        <v/>
      </c>
      <c r="E40" s="841"/>
      <c r="F40" s="197" t="str">
        <f ca="1">IFERROR(IF(INDEX(EWEMQC!C$60:C$69,MATCH(C40,EWEMQC!A$60:A$69,0))&lt;&gt;"","ADJUSTED EWEM: ","")&amp;INDEX(EWEMQC!C$60:C$69,MATCH(C40,EWEMQC!A$60:A$69,0))&amp;IF(EWEMQC!C44&lt;&gt;"","RECOMMENDED EWEM: "&amp;EWEMQC!C44,""),EWEMQC!C44)</f>
        <v/>
      </c>
      <c r="G40" s="191"/>
      <c r="H40" s="294"/>
    </row>
    <row r="41" spans="3:8" s="92" customFormat="1" ht="36" customHeight="1" x14ac:dyDescent="0.2">
      <c r="C41" s="198">
        <v>18</v>
      </c>
      <c r="D41" s="840" t="str">
        <f>IF('Input-EWEMs'!F29="", "", 'Input-EWEMs'!F29)</f>
        <v/>
      </c>
      <c r="E41" s="841"/>
      <c r="F41" s="197" t="str">
        <f ca="1">IFERROR(IF(INDEX(EWEMQC!C$60:C$69,MATCH(C41,EWEMQC!A$60:A$69,0))&lt;&gt;"","ADJUSTED EWEM: ","")&amp;INDEX(EWEMQC!C$60:C$69,MATCH(C41,EWEMQC!A$60:A$69,0))&amp;IF(EWEMQC!C45&lt;&gt;"","RECOMMENDED EWEM: "&amp;EWEMQC!C45,""),EWEMQC!C45)</f>
        <v/>
      </c>
      <c r="G41" s="191"/>
      <c r="H41" s="294"/>
    </row>
    <row r="42" spans="3:8" s="92" customFormat="1" ht="36" customHeight="1" x14ac:dyDescent="0.2">
      <c r="C42" s="198">
        <v>19</v>
      </c>
      <c r="D42" s="840" t="str">
        <f>IF('Input-EWEMs'!F30="", "", 'Input-EWEMs'!F30)</f>
        <v/>
      </c>
      <c r="E42" s="841"/>
      <c r="F42" s="197" t="str">
        <f ca="1">IFERROR(IF(INDEX(EWEMQC!C$60:C$69,MATCH(C42,EWEMQC!A$60:A$69,0))&lt;&gt;"","ADJUSTED EWEM: ","")&amp;INDEX(EWEMQC!C$60:C$69,MATCH(C42,EWEMQC!A$60:A$69,0))&amp;IF(EWEMQC!C46&lt;&gt;"","RECOMMENDED EWEM: "&amp;EWEMQC!C46,""),EWEMQC!C46)</f>
        <v/>
      </c>
      <c r="G42" s="191"/>
      <c r="H42" s="294"/>
    </row>
    <row r="43" spans="3:8" s="92" customFormat="1" ht="36" customHeight="1" x14ac:dyDescent="0.2">
      <c r="C43" s="198">
        <v>20</v>
      </c>
      <c r="D43" s="840" t="str">
        <f>IF('Input-EWEMs'!F31="", "", 'Input-EWEMs'!F31)</f>
        <v/>
      </c>
      <c r="E43" s="841"/>
      <c r="F43" s="197" t="str">
        <f ca="1">IFERROR(IF(INDEX(EWEMQC!C$60:C$69,MATCH(C43,EWEMQC!A$60:A$69,0))&lt;&gt;"","ADJUSTED EWEM: ","")&amp;INDEX(EWEMQC!C$60:C$69,MATCH(C43,EWEMQC!A$60:A$69,0))&amp;IF(EWEMQC!C47&lt;&gt;"","RECOMMENDED EWEM: "&amp;EWEMQC!C47,""),EWEMQC!C47)</f>
        <v/>
      </c>
      <c r="G43" s="191"/>
      <c r="H43" s="294"/>
    </row>
    <row r="44" spans="3:8" s="92" customFormat="1" ht="36" customHeight="1" x14ac:dyDescent="0.2">
      <c r="C44" s="198">
        <v>21</v>
      </c>
      <c r="D44" s="840" t="str">
        <f>IF('Input-EWEMs'!F32="", "", 'Input-EWEMs'!F32)</f>
        <v/>
      </c>
      <c r="E44" s="841"/>
      <c r="F44" s="197" t="str">
        <f ca="1">IFERROR(IF(INDEX(EWEMQC!C$60:C$69,MATCH(C44,EWEMQC!A$60:A$69,0))&lt;&gt;"","ADJUSTED EWEM: ","")&amp;INDEX(EWEMQC!C$60:C$69,MATCH(C44,EWEMQC!A$60:A$69,0))&amp;IF(EWEMQC!C48&lt;&gt;"","RECOMMENDED EWEM: "&amp;EWEMQC!C48,""),EWEMQC!C48)</f>
        <v/>
      </c>
      <c r="G44" s="191"/>
      <c r="H44" s="294"/>
    </row>
    <row r="45" spans="3:8" s="92" customFormat="1" ht="36" customHeight="1" x14ac:dyDescent="0.2">
      <c r="C45" s="198">
        <v>22</v>
      </c>
      <c r="D45" s="840" t="str">
        <f>IF('Input-EWEMs'!F33="", "", 'Input-EWEMs'!F33)</f>
        <v/>
      </c>
      <c r="E45" s="841"/>
      <c r="F45" s="197" t="str">
        <f ca="1">IFERROR(IF(INDEX(EWEMQC!C$60:C$69,MATCH(C45,EWEMQC!A$60:A$69,0))&lt;&gt;"","ADJUSTED EWEM: ","")&amp;INDEX(EWEMQC!C$60:C$69,MATCH(C45,EWEMQC!A$60:A$69,0))&amp;IF(EWEMQC!C49&lt;&gt;"","RECOMMENDED EWEM: "&amp;EWEMQC!C49,""),EWEMQC!C49)</f>
        <v/>
      </c>
      <c r="G45" s="191"/>
      <c r="H45" s="294"/>
    </row>
    <row r="46" spans="3:8" s="92" customFormat="1" ht="36" customHeight="1" x14ac:dyDescent="0.2">
      <c r="C46" s="198">
        <v>23</v>
      </c>
      <c r="D46" s="840" t="str">
        <f>IF('Input-EWEMs'!F34="", "", 'Input-EWEMs'!F34)</f>
        <v/>
      </c>
      <c r="E46" s="841"/>
      <c r="F46" s="197" t="str">
        <f ca="1">IFERROR(IF(INDEX(EWEMQC!C$60:C$69,MATCH(C46,EWEMQC!A$60:A$69,0))&lt;&gt;"","ADJUSTED EWEM: ","")&amp;INDEX(EWEMQC!C$60:C$69,MATCH(C46,EWEMQC!A$60:A$69,0))&amp;IF(EWEMQC!C50&lt;&gt;"","RECOMMENDED EWEM: "&amp;EWEMQC!C50,""),EWEMQC!C50)</f>
        <v/>
      </c>
      <c r="G46" s="191"/>
    </row>
    <row r="47" spans="3:8" s="92" customFormat="1" ht="36" customHeight="1" x14ac:dyDescent="0.2">
      <c r="C47" s="198">
        <v>24</v>
      </c>
      <c r="D47" s="840" t="str">
        <f>IF('Input-EWEMs'!F35="", "", 'Input-EWEMs'!F35)</f>
        <v/>
      </c>
      <c r="E47" s="841"/>
      <c r="F47" s="197" t="str">
        <f ca="1">IFERROR(IF(INDEX(EWEMQC!C$60:C$69,MATCH(C47,EWEMQC!A$60:A$69,0))&lt;&gt;"","ADJUSTED EWEM: ","")&amp;INDEX(EWEMQC!C$60:C$69,MATCH(C47,EWEMQC!A$60:A$69,0))&amp;IF(EWEMQC!C51&lt;&gt;"","RECOMMENDED EWEM: "&amp;EWEMQC!C51,""),EWEMQC!C51)</f>
        <v/>
      </c>
      <c r="G47" s="191"/>
    </row>
    <row r="48" spans="3:8" s="92" customFormat="1" ht="36" customHeight="1" x14ac:dyDescent="0.2">
      <c r="C48" s="198">
        <v>25</v>
      </c>
      <c r="D48" s="840" t="str">
        <f>IF('Input-EWEMs'!F36="", "", 'Input-EWEMs'!F36)</f>
        <v/>
      </c>
      <c r="E48" s="841"/>
      <c r="F48" s="197" t="str">
        <f ca="1">IFERROR(IF(INDEX(EWEMQC!C$60:C$69,MATCH(C48,EWEMQC!A$60:A$69,0))&lt;&gt;"","ADJUSTED EWEM: ","")&amp;INDEX(EWEMQC!C$60:C$69,MATCH(C48,EWEMQC!A$60:A$69,0))&amp;IF(EWEMQC!C52&lt;&gt;"","RECOMMENDED EWEM: "&amp;EWEMQC!C52,""),EWEMQC!C52)</f>
        <v/>
      </c>
      <c r="G48" s="191"/>
    </row>
    <row r="49" spans="3:10" s="92" customFormat="1" ht="36" customHeight="1" x14ac:dyDescent="0.2">
      <c r="C49" s="198">
        <v>26</v>
      </c>
      <c r="D49" s="840" t="str">
        <f>IF('Input-EWEMs'!F37="", "", 'Input-EWEMs'!F37)</f>
        <v/>
      </c>
      <c r="E49" s="841"/>
      <c r="F49" s="197" t="str">
        <f ca="1">IFERROR(IF(INDEX(EWEMQC!C$60:C$69,MATCH(C49,EWEMQC!A$60:A$69,0))&lt;&gt;"","ADJUSTED EWEM: ","")&amp;INDEX(EWEMQC!C$60:C$69,MATCH(C49,EWEMQC!A$60:A$69,0))&amp;IF(EWEMQC!C53&lt;&gt;"","RECOMMENDED EWEM: "&amp;EWEMQC!C53,""),EWEMQC!C53)</f>
        <v/>
      </c>
      <c r="G49" s="191"/>
    </row>
    <row r="50" spans="3:10" s="92" customFormat="1" ht="36" customHeight="1" x14ac:dyDescent="0.2">
      <c r="C50" s="198">
        <v>27</v>
      </c>
      <c r="D50" s="840" t="str">
        <f>IF('Input-EWEMs'!F38="", "", 'Input-EWEMs'!F38)</f>
        <v/>
      </c>
      <c r="E50" s="841"/>
      <c r="F50" s="197" t="str">
        <f ca="1">IFERROR(IF(INDEX(EWEMQC!C$60:C$69,MATCH(C50,EWEMQC!A$60:A$69,0))&lt;&gt;"","ADJUSTED EWEM: ","")&amp;INDEX(EWEMQC!C$60:C$69,MATCH(C50,EWEMQC!A$60:A$69,0))&amp;IF(EWEMQC!C54&lt;&gt;"","RECOMMENDED EWEM: "&amp;EWEMQC!C54,""),EWEMQC!C54)</f>
        <v/>
      </c>
      <c r="G50" s="191"/>
    </row>
    <row r="51" spans="3:10" s="92" customFormat="1" ht="36" customHeight="1" x14ac:dyDescent="0.2">
      <c r="C51" s="198">
        <v>28</v>
      </c>
      <c r="D51" s="840" t="str">
        <f>IF('Input-EWEMs'!F39="", "", 'Input-EWEMs'!F39)</f>
        <v/>
      </c>
      <c r="E51" s="841"/>
      <c r="F51" s="197" t="str">
        <f ca="1">IFERROR(IF(INDEX(EWEMQC!C$60:C$69,MATCH(C51,EWEMQC!A$60:A$69,0))&lt;&gt;"","ADJUSTED EWEM: ","")&amp;INDEX(EWEMQC!C$60:C$69,MATCH(C51,EWEMQC!A$60:A$69,0))&amp;IF(EWEMQC!C55&lt;&gt;"","RECOMMENDED EWEM: "&amp;EWEMQC!C55,""),EWEMQC!C55)</f>
        <v/>
      </c>
      <c r="G51" s="191"/>
    </row>
    <row r="52" spans="3:10" s="92" customFormat="1" ht="36" customHeight="1" x14ac:dyDescent="0.2">
      <c r="C52" s="198">
        <v>29</v>
      </c>
      <c r="D52" s="840" t="str">
        <f>IF('Input-EWEMs'!F40="", "", 'Input-EWEMs'!F40)</f>
        <v/>
      </c>
      <c r="E52" s="841"/>
      <c r="F52" s="197" t="str">
        <f ca="1">IFERROR(IF(INDEX(EWEMQC!C$60:C$69,MATCH(C52,EWEMQC!A$60:A$69,0))&lt;&gt;"","ADJUSTED EWEM: ","")&amp;INDEX(EWEMQC!C$60:C$69,MATCH(C52,EWEMQC!A$60:A$69,0))&amp;IF(EWEMQC!C56&lt;&gt;"","RECOMMENDED EWEM: "&amp;EWEMQC!C56,""),EWEMQC!C56)</f>
        <v/>
      </c>
      <c r="G52" s="191"/>
    </row>
    <row r="53" spans="3:10" s="92" customFormat="1" ht="36" customHeight="1" x14ac:dyDescent="0.2">
      <c r="C53" s="198">
        <v>30</v>
      </c>
      <c r="D53" s="840" t="str">
        <f>IF('Input-EWEMs'!F41="", "", 'Input-EWEMs'!F41)</f>
        <v/>
      </c>
      <c r="E53" s="841"/>
      <c r="F53" s="197" t="str">
        <f ca="1">IFERROR(IF(INDEX(EWEMQC!C$60:C$69,MATCH(C53,EWEMQC!A$60:A$69,0))&lt;&gt;"","ADJUSTED EWEM: ","")&amp;INDEX(EWEMQC!C$60:C$69,MATCH(C53,EWEMQC!A$60:A$69,0))&amp;IF(EWEMQC!C57&lt;&gt;"","RECOMMENDED EWEM: "&amp;EWEMQC!C57,""),EWEMQC!C57)</f>
        <v/>
      </c>
      <c r="G53" s="191"/>
    </row>
    <row r="54" spans="3:10" ht="16.5" customHeight="1" x14ac:dyDescent="0.25">
      <c r="C54" s="200"/>
      <c r="D54" s="201"/>
      <c r="E54" s="202"/>
      <c r="F54" s="203"/>
      <c r="G54" s="203"/>
      <c r="H54" s="204"/>
      <c r="I54" s="205"/>
      <c r="J54" s="205"/>
    </row>
    <row r="55" spans="3:10" x14ac:dyDescent="0.15">
      <c r="C55" s="183"/>
    </row>
    <row r="58" spans="3:10" x14ac:dyDescent="0.15">
      <c r="C58" s="109"/>
    </row>
    <row r="60" spans="3:10" ht="15" x14ac:dyDescent="0.2">
      <c r="E60" s="182"/>
    </row>
    <row r="61" spans="3:10" ht="15" x14ac:dyDescent="0.2">
      <c r="E61" s="182"/>
    </row>
  </sheetData>
  <sheetProtection algorithmName="SHA-512" hashValue="QjGgjqhiqKpIwwWihcpW4idT5nO6XAbB4MJPikXf4QB7dNNYLtyrpv7WSLQH/KpGiOyUsExBA3D3CIRUf94QTA==" saltValue="w5DRJW+Adm3pCAlNnHzNqQ==" spinCount="100000" sheet="1" objects="1" scenarios="1"/>
  <mergeCells count="43">
    <mergeCell ref="D47:E47"/>
    <mergeCell ref="D46:E46"/>
    <mergeCell ref="D45:E45"/>
    <mergeCell ref="D44:E44"/>
    <mergeCell ref="D43:E43"/>
    <mergeCell ref="D52:E52"/>
    <mergeCell ref="D51:E51"/>
    <mergeCell ref="D50:E50"/>
    <mergeCell ref="D49:E49"/>
    <mergeCell ref="D48:E48"/>
    <mergeCell ref="D41:E41"/>
    <mergeCell ref="D42:E42"/>
    <mergeCell ref="D53:E53"/>
    <mergeCell ref="D23:E23"/>
    <mergeCell ref="D24:E24"/>
    <mergeCell ref="D25:E25"/>
    <mergeCell ref="D26:E26"/>
    <mergeCell ref="D27:E27"/>
    <mergeCell ref="D28:E28"/>
    <mergeCell ref="D29:E29"/>
    <mergeCell ref="D30:E30"/>
    <mergeCell ref="D31:E31"/>
    <mergeCell ref="D32:E32"/>
    <mergeCell ref="D33:E33"/>
    <mergeCell ref="D34:E34"/>
    <mergeCell ref="D35:E35"/>
    <mergeCell ref="C18:D18"/>
    <mergeCell ref="C8:D8"/>
    <mergeCell ref="C10:D10"/>
    <mergeCell ref="C15:D15"/>
    <mergeCell ref="C17:D17"/>
    <mergeCell ref="C11:D11"/>
    <mergeCell ref="C12:D12"/>
    <mergeCell ref="C16:D16"/>
    <mergeCell ref="C13:D13"/>
    <mergeCell ref="C14:D14"/>
    <mergeCell ref="C9:D9"/>
    <mergeCell ref="C19:D19"/>
    <mergeCell ref="D38:E38"/>
    <mergeCell ref="D39:E39"/>
    <mergeCell ref="D40:E40"/>
    <mergeCell ref="D36:E36"/>
    <mergeCell ref="D37:E37"/>
  </mergeCells>
  <conditionalFormatting sqref="G9:G19">
    <cfRule type="expression" dxfId="44" priority="1">
      <formula>AND($F9&lt;&gt;"", $G9="")</formula>
    </cfRule>
  </conditionalFormatting>
  <conditionalFormatting sqref="G24:G53">
    <cfRule type="expression" dxfId="43" priority="2">
      <formula>AND($F24&lt;&gt;"", $G24="")</formula>
    </cfRule>
  </conditionalFormatting>
  <pageMargins left="0.7" right="0.7" top="0.75" bottom="0.75" header="0.3" footer="0.3"/>
  <pageSetup paperSize="5" scale="84" orientation="landscape" r:id="rId1"/>
  <headerFooter>
    <oddFooter>&amp;L&amp;"Source Sans Pro,Regular"&amp;8© 2023 Fannie Mae. Trademarks of Fannie Mae._x000D_&amp;1#&amp;"Calibri"&amp;10&amp;K000000 Fannie Mae Confidential&amp;C&amp;"Source Sans Pro,Regular"&amp;8Form 4099.H - October 2023&amp;R&amp;"Source Sans Pro,Regular"&amp;8Page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dimension ref="A1:W45"/>
  <sheetViews>
    <sheetView topLeftCell="A3" workbookViewId="0">
      <selection activeCell="B26" sqref="B26"/>
    </sheetView>
  </sheetViews>
  <sheetFormatPr baseColWidth="10" defaultColWidth="8.83203125" defaultRowHeight="15" x14ac:dyDescent="0.2"/>
  <cols>
    <col min="1" max="1" width="27.5" customWidth="1"/>
    <col min="2" max="2" width="33.6640625" customWidth="1"/>
    <col min="3" max="3" width="22.5" customWidth="1"/>
    <col min="4" max="4" width="13.6640625" customWidth="1"/>
    <col min="5" max="5" width="12.5" customWidth="1"/>
  </cols>
  <sheetData>
    <row r="1" spans="1:23" x14ac:dyDescent="0.2">
      <c r="A1" s="26" t="s">
        <v>110</v>
      </c>
      <c r="B1" s="25"/>
      <c r="C1" s="25"/>
      <c r="D1" s="25"/>
      <c r="E1" s="25"/>
      <c r="F1" s="25"/>
      <c r="G1" s="25"/>
      <c r="H1" s="25"/>
      <c r="I1" s="25"/>
      <c r="J1" s="25"/>
      <c r="K1" s="25"/>
      <c r="L1" s="25"/>
      <c r="M1" s="25"/>
      <c r="N1" s="25"/>
      <c r="O1" s="25"/>
      <c r="P1" s="25"/>
      <c r="Q1" s="25"/>
      <c r="R1" s="25"/>
      <c r="S1" s="25"/>
      <c r="T1" s="25"/>
      <c r="U1" s="25"/>
      <c r="V1" s="25"/>
      <c r="W1" s="25"/>
    </row>
    <row r="2" spans="1:23" x14ac:dyDescent="0.2">
      <c r="A2" s="3" t="s">
        <v>111</v>
      </c>
      <c r="B2" s="3" t="s">
        <v>112</v>
      </c>
      <c r="C2" s="3" t="s">
        <v>113</v>
      </c>
      <c r="D2" s="3" t="s">
        <v>114</v>
      </c>
      <c r="E2" s="3" t="s">
        <v>115</v>
      </c>
    </row>
    <row r="3" spans="1:23" x14ac:dyDescent="0.2">
      <c r="A3" t="s">
        <v>116</v>
      </c>
      <c r="B3" t="s">
        <v>117</v>
      </c>
      <c r="C3" t="s">
        <v>118</v>
      </c>
      <c r="D3">
        <v>0.02</v>
      </c>
      <c r="E3">
        <v>0.5</v>
      </c>
    </row>
    <row r="4" spans="1:23" x14ac:dyDescent="0.2">
      <c r="A4" t="s">
        <v>116</v>
      </c>
      <c r="B4" t="s">
        <v>119</v>
      </c>
      <c r="C4" t="s">
        <v>120</v>
      </c>
      <c r="D4">
        <f>2.5*10^-6</f>
        <v>2.4999999999999998E-6</v>
      </c>
      <c r="E4">
        <f>30*10^-6</f>
        <v>2.9999999999999997E-5</v>
      </c>
    </row>
    <row r="5" spans="1:23" x14ac:dyDescent="0.2">
      <c r="A5" t="s">
        <v>116</v>
      </c>
      <c r="B5" t="s">
        <v>121</v>
      </c>
      <c r="C5" t="s">
        <v>120</v>
      </c>
      <c r="D5">
        <f>1/149690</f>
        <v>6.6804729774868063E-6</v>
      </c>
      <c r="E5">
        <f>5/138690</f>
        <v>3.6051625928329368E-5</v>
      </c>
    </row>
    <row r="6" spans="1:23" x14ac:dyDescent="0.2">
      <c r="A6" t="s">
        <v>116</v>
      </c>
      <c r="B6" t="s">
        <v>122</v>
      </c>
      <c r="C6" t="s">
        <v>120</v>
      </c>
      <c r="D6">
        <f>1/149690</f>
        <v>6.6804729774868063E-6</v>
      </c>
      <c r="E6">
        <f>5/138690</f>
        <v>3.6051625928329368E-5</v>
      </c>
    </row>
    <row r="7" spans="1:23" x14ac:dyDescent="0.2">
      <c r="A7" t="s">
        <v>116</v>
      </c>
      <c r="B7" t="s">
        <v>123</v>
      </c>
      <c r="C7" t="s">
        <v>120</v>
      </c>
      <c r="D7">
        <f>1/149690</f>
        <v>6.6804729774868063E-6</v>
      </c>
      <c r="E7">
        <f>5/138690</f>
        <v>3.6051625928329368E-5</v>
      </c>
    </row>
    <row r="8" spans="1:23" x14ac:dyDescent="0.2">
      <c r="A8" t="s">
        <v>116</v>
      </c>
      <c r="B8" t="s">
        <v>124</v>
      </c>
      <c r="C8" t="s">
        <v>120</v>
      </c>
      <c r="D8">
        <f>1/91648</f>
        <v>1.0911312849162012E-5</v>
      </c>
      <c r="E8">
        <f>5/91648</f>
        <v>5.4556564245810053E-5</v>
      </c>
    </row>
    <row r="9" spans="1:23" x14ac:dyDescent="0.2">
      <c r="A9" t="s">
        <v>116</v>
      </c>
      <c r="B9" t="s">
        <v>125</v>
      </c>
      <c r="C9" t="s">
        <v>120</v>
      </c>
      <c r="D9">
        <f>16.75042*10^-6</f>
        <v>1.6750419999999996E-5</v>
      </c>
      <c r="E9">
        <f>41.87605*10^-6</f>
        <v>4.187605E-5</v>
      </c>
    </row>
    <row r="10" spans="1:23" x14ac:dyDescent="0.2">
      <c r="A10" t="s">
        <v>116</v>
      </c>
      <c r="B10" t="s">
        <v>126</v>
      </c>
      <c r="C10" t="s">
        <v>127</v>
      </c>
      <c r="D10">
        <v>2E-3</v>
      </c>
      <c r="E10">
        <v>2.5000000000000001E-2</v>
      </c>
    </row>
    <row r="11" spans="1:23" x14ac:dyDescent="0.2">
      <c r="A11" t="s">
        <v>128</v>
      </c>
      <c r="B11" t="s">
        <v>129</v>
      </c>
      <c r="C11" t="s">
        <v>130</v>
      </c>
      <c r="E11">
        <v>400</v>
      </c>
    </row>
    <row r="17" spans="1:23" x14ac:dyDescent="0.2">
      <c r="A17" s="26" t="s">
        <v>131</v>
      </c>
      <c r="B17" s="25"/>
      <c r="C17" s="25"/>
      <c r="D17" s="25"/>
      <c r="E17" s="25"/>
      <c r="F17" s="25"/>
      <c r="G17" s="25"/>
      <c r="H17" s="25"/>
      <c r="I17" s="25"/>
      <c r="J17" s="25"/>
      <c r="K17" s="25"/>
      <c r="L17" s="25"/>
      <c r="M17" s="25"/>
      <c r="N17" s="25"/>
      <c r="O17" s="25"/>
      <c r="P17" s="25"/>
      <c r="Q17" s="25"/>
      <c r="R17" s="25"/>
      <c r="S17" s="25"/>
      <c r="T17" s="25"/>
      <c r="U17" s="25"/>
      <c r="V17" s="25"/>
      <c r="W17" s="25"/>
    </row>
    <row r="18" spans="1:23" x14ac:dyDescent="0.2">
      <c r="A18" s="3" t="s">
        <v>132</v>
      </c>
      <c r="B18" s="3" t="s">
        <v>133</v>
      </c>
      <c r="C18" s="3" t="s">
        <v>134</v>
      </c>
      <c r="D18" s="3" t="s">
        <v>135</v>
      </c>
      <c r="E18" s="3"/>
    </row>
    <row r="19" spans="1:23" x14ac:dyDescent="0.2">
      <c r="A19" t="s">
        <v>136</v>
      </c>
      <c r="B19" t="s">
        <v>137</v>
      </c>
      <c r="C19">
        <v>27</v>
      </c>
      <c r="D19">
        <v>39</v>
      </c>
    </row>
    <row r="20" spans="1:23" x14ac:dyDescent="0.2">
      <c r="A20" t="s">
        <v>138</v>
      </c>
      <c r="B20" t="s">
        <v>139</v>
      </c>
      <c r="C20" s="713" t="e">
        <v>#N/A</v>
      </c>
      <c r="D20">
        <v>89</v>
      </c>
    </row>
    <row r="21" spans="1:23" x14ac:dyDescent="0.2">
      <c r="A21" t="s">
        <v>136</v>
      </c>
      <c r="B21" t="s">
        <v>140</v>
      </c>
      <c r="C21">
        <v>225</v>
      </c>
      <c r="D21">
        <v>280</v>
      </c>
    </row>
    <row r="22" spans="1:23" x14ac:dyDescent="0.2">
      <c r="A22" t="s">
        <v>136</v>
      </c>
      <c r="B22" t="s">
        <v>141</v>
      </c>
      <c r="C22">
        <v>10</v>
      </c>
      <c r="D22">
        <v>10</v>
      </c>
    </row>
    <row r="23" spans="1:23" x14ac:dyDescent="0.2">
      <c r="A23" t="s">
        <v>136</v>
      </c>
      <c r="B23" t="s">
        <v>142</v>
      </c>
      <c r="C23">
        <v>10</v>
      </c>
      <c r="D23">
        <v>13</v>
      </c>
    </row>
    <row r="24" spans="1:23" x14ac:dyDescent="0.2">
      <c r="A24" t="s">
        <v>143</v>
      </c>
      <c r="B24" t="s">
        <v>144</v>
      </c>
      <c r="C24">
        <v>550</v>
      </c>
      <c r="D24">
        <v>550</v>
      </c>
    </row>
    <row r="25" spans="1:23" x14ac:dyDescent="0.2">
      <c r="A25" t="s">
        <v>143</v>
      </c>
      <c r="B25" t="s">
        <v>145</v>
      </c>
      <c r="C25">
        <v>475</v>
      </c>
      <c r="D25">
        <v>475</v>
      </c>
    </row>
    <row r="26" spans="1:23" x14ac:dyDescent="0.2">
      <c r="A26" t="s">
        <v>143</v>
      </c>
      <c r="B26" t="s">
        <v>146</v>
      </c>
      <c r="C26">
        <v>650</v>
      </c>
      <c r="D26">
        <v>530</v>
      </c>
    </row>
    <row r="27" spans="1:23" x14ac:dyDescent="0.2">
      <c r="A27" t="s">
        <v>147</v>
      </c>
      <c r="B27" t="s">
        <v>148</v>
      </c>
      <c r="C27">
        <v>190</v>
      </c>
      <c r="D27">
        <v>192</v>
      </c>
    </row>
    <row r="28" spans="1:23" x14ac:dyDescent="0.2">
      <c r="A28" t="s">
        <v>149</v>
      </c>
      <c r="B28" t="s">
        <v>150</v>
      </c>
      <c r="C28">
        <v>500</v>
      </c>
      <c r="D28">
        <v>500</v>
      </c>
    </row>
    <row r="29" spans="1:23" x14ac:dyDescent="0.2">
      <c r="A29" t="s">
        <v>149</v>
      </c>
      <c r="B29" t="s">
        <v>151</v>
      </c>
      <c r="C29">
        <v>5000</v>
      </c>
    </row>
    <row r="32" spans="1:23" x14ac:dyDescent="0.2">
      <c r="A32" s="26" t="s">
        <v>152</v>
      </c>
      <c r="B32" s="25"/>
      <c r="C32" s="25"/>
      <c r="D32" s="25"/>
      <c r="E32" s="25"/>
      <c r="F32" s="25"/>
      <c r="G32" s="25"/>
      <c r="H32" s="25"/>
      <c r="I32" s="25"/>
      <c r="J32" s="25"/>
      <c r="K32" s="25"/>
      <c r="L32" s="25"/>
      <c r="M32" s="25"/>
      <c r="N32" s="25"/>
      <c r="O32" s="25"/>
      <c r="P32" s="25"/>
      <c r="Q32" s="25"/>
      <c r="R32" s="25"/>
      <c r="S32" s="25"/>
      <c r="T32" s="25"/>
      <c r="U32" s="25"/>
      <c r="V32" s="25"/>
      <c r="W32" s="25"/>
    </row>
    <row r="33" spans="1:5" x14ac:dyDescent="0.2">
      <c r="A33" s="3" t="s">
        <v>111</v>
      </c>
      <c r="B33" s="3" t="s">
        <v>112</v>
      </c>
      <c r="C33" s="3" t="s">
        <v>113</v>
      </c>
      <c r="D33" s="3" t="s">
        <v>114</v>
      </c>
      <c r="E33" s="3" t="s">
        <v>115</v>
      </c>
    </row>
    <row r="34" spans="1:5" x14ac:dyDescent="0.2">
      <c r="A34" t="s">
        <v>153</v>
      </c>
      <c r="B34" t="s">
        <v>154</v>
      </c>
      <c r="C34" t="s">
        <v>155</v>
      </c>
      <c r="D34">
        <v>0.8</v>
      </c>
    </row>
    <row r="35" spans="1:5" x14ac:dyDescent="0.2">
      <c r="A35" t="s">
        <v>153</v>
      </c>
      <c r="B35" t="s">
        <v>156</v>
      </c>
      <c r="C35" t="s">
        <v>157</v>
      </c>
      <c r="D35">
        <v>0.8</v>
      </c>
    </row>
    <row r="36" spans="1:5" x14ac:dyDescent="0.2">
      <c r="A36" t="s">
        <v>153</v>
      </c>
      <c r="B36" t="s">
        <v>158</v>
      </c>
      <c r="C36" t="s">
        <v>157</v>
      </c>
      <c r="D36">
        <v>1.5</v>
      </c>
    </row>
    <row r="37" spans="1:5" x14ac:dyDescent="0.2">
      <c r="A37" t="s">
        <v>153</v>
      </c>
      <c r="B37" t="s">
        <v>159</v>
      </c>
      <c r="C37" t="s">
        <v>157</v>
      </c>
      <c r="D37">
        <v>1</v>
      </c>
    </row>
    <row r="38" spans="1:5" x14ac:dyDescent="0.2">
      <c r="A38" t="s">
        <v>153</v>
      </c>
      <c r="B38" t="s">
        <v>154</v>
      </c>
      <c r="C38" t="s">
        <v>160</v>
      </c>
      <c r="E38">
        <v>3</v>
      </c>
    </row>
    <row r="39" spans="1:5" x14ac:dyDescent="0.2">
      <c r="A39" t="s">
        <v>153</v>
      </c>
      <c r="B39" t="s">
        <v>156</v>
      </c>
      <c r="C39" t="s">
        <v>161</v>
      </c>
      <c r="E39">
        <v>2.5</v>
      </c>
    </row>
    <row r="40" spans="1:5" x14ac:dyDescent="0.2">
      <c r="A40" t="s">
        <v>153</v>
      </c>
      <c r="B40" t="s">
        <v>158</v>
      </c>
      <c r="C40" t="s">
        <v>161</v>
      </c>
      <c r="E40">
        <v>2.5</v>
      </c>
    </row>
    <row r="41" spans="1:5" x14ac:dyDescent="0.2">
      <c r="A41" t="s">
        <v>153</v>
      </c>
      <c r="B41" t="s">
        <v>159</v>
      </c>
      <c r="C41" t="s">
        <v>161</v>
      </c>
      <c r="E41">
        <v>2.75</v>
      </c>
    </row>
    <row r="42" spans="1:5" x14ac:dyDescent="0.2">
      <c r="A42" t="s">
        <v>162</v>
      </c>
      <c r="B42" t="s">
        <v>163</v>
      </c>
      <c r="C42" t="s">
        <v>164</v>
      </c>
      <c r="D42">
        <v>12</v>
      </c>
      <c r="E42">
        <v>45</v>
      </c>
    </row>
    <row r="43" spans="1:5" x14ac:dyDescent="0.2">
      <c r="A43" t="s">
        <v>162</v>
      </c>
      <c r="B43" t="s">
        <v>165</v>
      </c>
      <c r="C43" t="s">
        <v>164</v>
      </c>
      <c r="D43">
        <v>12</v>
      </c>
      <c r="E43">
        <v>81</v>
      </c>
    </row>
    <row r="44" spans="1:5" x14ac:dyDescent="0.2">
      <c r="A44" t="s">
        <v>166</v>
      </c>
      <c r="B44" t="s">
        <v>167</v>
      </c>
      <c r="C44" t="s">
        <v>168</v>
      </c>
      <c r="D44">
        <v>1.6</v>
      </c>
      <c r="E44">
        <v>6.5</v>
      </c>
    </row>
    <row r="45" spans="1:5" x14ac:dyDescent="0.2">
      <c r="A45" t="s">
        <v>162</v>
      </c>
      <c r="B45" t="s">
        <v>163</v>
      </c>
      <c r="C45" t="s">
        <v>169</v>
      </c>
      <c r="D45">
        <v>110</v>
      </c>
      <c r="E45">
        <v>146</v>
      </c>
    </row>
  </sheetData>
  <pageMargins left="0.7" right="0.7" top="0.75" bottom="0.75" header="0.3" footer="0.3"/>
  <pageSetup orientation="portrait" r:id="rId1"/>
  <headerFooter>
    <oddFooter>&amp;L_x000D_&amp;1#&amp;"Calibri"&amp;10&amp;K000000 Fannie Mae Confidential&amp;CConfidential - Internal Distribution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69"/>
  <sheetViews>
    <sheetView zoomScale="90" zoomScaleNormal="90" workbookViewId="0">
      <selection activeCell="B10" sqref="B10"/>
    </sheetView>
  </sheetViews>
  <sheetFormatPr baseColWidth="10" defaultColWidth="9.33203125" defaultRowHeight="15" x14ac:dyDescent="0.2"/>
  <cols>
    <col min="1" max="1" width="9.33203125" style="40"/>
    <col min="2" max="2" width="48.33203125" style="40" customWidth="1"/>
    <col min="3" max="3" width="44.33203125" style="40" customWidth="1"/>
    <col min="4" max="4" width="13.5" style="40" customWidth="1"/>
    <col min="5" max="5" width="14.33203125" style="40" customWidth="1"/>
    <col min="6" max="6" width="12.6640625" style="40" customWidth="1"/>
    <col min="7" max="7" width="13.5" style="40" customWidth="1"/>
    <col min="8" max="8" width="12.5" style="40" customWidth="1"/>
    <col min="9" max="17" width="9.33203125" style="40"/>
    <col min="18" max="18" width="12.5" style="40" customWidth="1"/>
    <col min="19" max="16384" width="9.33203125" style="40"/>
  </cols>
  <sheetData>
    <row r="1" spans="1:13" x14ac:dyDescent="0.2">
      <c r="A1" t="s">
        <v>170</v>
      </c>
      <c r="B1" s="766"/>
      <c r="C1" s="766"/>
      <c r="D1" s="766"/>
      <c r="E1" s="766"/>
      <c r="F1" s="766"/>
      <c r="G1" s="766"/>
      <c r="H1" s="766"/>
      <c r="I1" s="766"/>
      <c r="J1" s="766"/>
      <c r="K1" s="766"/>
      <c r="L1" s="766"/>
      <c r="M1" s="766"/>
    </row>
    <row r="2" spans="1:13" x14ac:dyDescent="0.2">
      <c r="A2"/>
      <c r="B2" s="766" t="s">
        <v>133</v>
      </c>
      <c r="C2" t="s">
        <v>171</v>
      </c>
      <c r="D2" s="766"/>
      <c r="E2" s="766"/>
      <c r="F2" s="766"/>
      <c r="G2" s="766"/>
      <c r="H2" s="766"/>
      <c r="I2" s="766"/>
      <c r="J2" s="766"/>
      <c r="K2" s="766"/>
      <c r="L2" s="766"/>
      <c r="M2" s="766"/>
    </row>
    <row r="3" spans="1:13" x14ac:dyDescent="0.2">
      <c r="A3" s="766"/>
      <c r="B3" s="3" t="s">
        <v>140</v>
      </c>
      <c r="C3" s="600" t="str">
        <f>'Input-WaterCalc'!O19</f>
        <v xml:space="preserve">Ensure proposed toilet flush rate is appropriate for property application to maintain product performance. </v>
      </c>
      <c r="D3" s="41"/>
      <c r="E3" s="41"/>
      <c r="F3" s="41"/>
      <c r="G3" s="41"/>
      <c r="H3" s="41"/>
      <c r="I3" s="41"/>
      <c r="J3" s="41"/>
      <c r="K3" s="41"/>
      <c r="L3" s="41"/>
      <c r="M3" s="42"/>
    </row>
    <row r="4" spans="1:13" x14ac:dyDescent="0.2">
      <c r="A4" s="766"/>
      <c r="B4" s="3" t="s">
        <v>142</v>
      </c>
      <c r="C4" s="600" t="str">
        <f>'Input-WaterCalc'!O15</f>
        <v/>
      </c>
      <c r="D4" s="41"/>
      <c r="E4" s="41"/>
      <c r="F4" s="41"/>
      <c r="G4" s="41"/>
      <c r="H4" s="41"/>
      <c r="I4" s="41"/>
      <c r="J4" s="41"/>
      <c r="K4" s="41"/>
      <c r="L4" s="41"/>
      <c r="M4" s="42"/>
    </row>
    <row r="5" spans="1:13" x14ac:dyDescent="0.2">
      <c r="A5" s="766"/>
      <c r="B5" s="3" t="s">
        <v>141</v>
      </c>
      <c r="C5" s="600" t="str">
        <f>'Input-WaterCalc'!O13</f>
        <v/>
      </c>
      <c r="D5" s="41"/>
      <c r="E5" s="41"/>
      <c r="F5" s="41"/>
      <c r="G5" s="41"/>
      <c r="H5" s="41"/>
      <c r="I5" s="41"/>
      <c r="J5" s="41"/>
      <c r="K5" s="41"/>
      <c r="L5" s="41"/>
      <c r="M5" s="42"/>
    </row>
    <row r="6" spans="1:13" x14ac:dyDescent="0.2">
      <c r="A6" s="766"/>
      <c r="B6" s="3" t="s">
        <v>137</v>
      </c>
      <c r="C6" s="600" t="str">
        <f>'Input-WaterCalc'!O17</f>
        <v/>
      </c>
      <c r="D6" s="41"/>
      <c r="E6" s="41"/>
      <c r="F6" s="41"/>
      <c r="G6" s="41"/>
      <c r="H6" s="41"/>
      <c r="I6" s="41"/>
      <c r="J6" s="41"/>
      <c r="K6" s="41"/>
      <c r="L6" s="41"/>
      <c r="M6" s="42"/>
    </row>
    <row r="7" spans="1:13" x14ac:dyDescent="0.2">
      <c r="A7" s="766"/>
      <c r="B7" s="3" t="s">
        <v>172</v>
      </c>
      <c r="C7" s="600" t="str">
        <f>IF(OR(C4&lt;&gt;"",C5&lt;&gt;"", C6&lt;&gt;""), "Some or all fixture assumptions are out of range - see Water Calculator. ", "")</f>
        <v/>
      </c>
      <c r="D7" s="41"/>
      <c r="E7" s="41"/>
      <c r="F7" s="41"/>
      <c r="G7" s="41"/>
      <c r="H7" s="41"/>
      <c r="I7" s="41"/>
      <c r="J7" s="41"/>
      <c r="K7" s="41"/>
      <c r="L7" s="41"/>
      <c r="M7" s="42"/>
    </row>
    <row r="8" spans="1:13" x14ac:dyDescent="0.2">
      <c r="A8" s="766"/>
      <c r="B8" s="3" t="s">
        <v>145</v>
      </c>
      <c r="C8" s="600" t="str">
        <f>'Input-WaterCalc'!O25</f>
        <v/>
      </c>
      <c r="D8" s="41"/>
      <c r="E8" s="41"/>
      <c r="F8" s="41"/>
      <c r="G8" s="41"/>
      <c r="H8" s="41"/>
      <c r="I8" s="41"/>
      <c r="J8" s="41"/>
      <c r="K8" s="41"/>
      <c r="L8" s="41"/>
      <c r="M8" s="42"/>
    </row>
    <row r="9" spans="1:13" x14ac:dyDescent="0.2">
      <c r="A9" s="766"/>
      <c r="B9" s="3" t="s">
        <v>146</v>
      </c>
      <c r="C9" s="600" t="str">
        <f>'Input-WaterCalc'!O21</f>
        <v/>
      </c>
      <c r="D9" s="41"/>
      <c r="E9" s="41"/>
      <c r="F9" s="41"/>
      <c r="G9" s="41"/>
      <c r="H9" s="41"/>
      <c r="I9" s="41"/>
      <c r="J9" s="41"/>
      <c r="K9" s="41"/>
      <c r="L9" s="41"/>
      <c r="M9" s="42"/>
    </row>
    <row r="10" spans="1:13" x14ac:dyDescent="0.2">
      <c r="A10" s="766"/>
      <c r="B10" s="3"/>
      <c r="C10"/>
      <c r="D10" s="766"/>
      <c r="E10" s="766"/>
      <c r="F10" s="766"/>
      <c r="G10" s="766"/>
      <c r="H10" s="766"/>
      <c r="I10" s="41"/>
      <c r="J10" s="766"/>
      <c r="K10" s="766"/>
      <c r="L10" s="766"/>
      <c r="M10" s="42"/>
    </row>
    <row r="11" spans="1:13" x14ac:dyDescent="0.2">
      <c r="A11" s="766"/>
      <c r="B11" s="3"/>
      <c r="C11" s="766"/>
      <c r="D11" s="766"/>
      <c r="E11" s="766"/>
      <c r="F11" s="766"/>
      <c r="G11" s="766"/>
      <c r="H11" s="766"/>
      <c r="I11" s="766"/>
      <c r="J11" s="766"/>
      <c r="K11" s="766"/>
      <c r="L11" s="766"/>
      <c r="M11" s="766"/>
    </row>
    <row r="12" spans="1:13" x14ac:dyDescent="0.2">
      <c r="A12" t="s">
        <v>173</v>
      </c>
      <c r="B12" s="766"/>
      <c r="C12" s="766"/>
      <c r="D12" s="766"/>
      <c r="E12" s="766"/>
      <c r="F12" s="766"/>
      <c r="G12" s="766"/>
      <c r="H12" s="766"/>
      <c r="I12" s="766"/>
      <c r="J12" s="766"/>
      <c r="K12" s="766"/>
      <c r="L12" s="766"/>
      <c r="M12" s="766"/>
    </row>
    <row r="13" spans="1:13" x14ac:dyDescent="0.2">
      <c r="A13" s="766"/>
      <c r="B13" s="766" t="s">
        <v>174</v>
      </c>
      <c r="C13" s="766" t="s">
        <v>175</v>
      </c>
      <c r="D13" s="766" t="s">
        <v>176</v>
      </c>
      <c r="E13" s="766"/>
      <c r="F13" s="766"/>
      <c r="G13" s="766"/>
      <c r="H13" s="766"/>
      <c r="I13" s="766"/>
      <c r="J13" s="766"/>
      <c r="K13" s="766"/>
      <c r="L13" s="766"/>
      <c r="M13" s="766"/>
    </row>
    <row r="14" spans="1:13" x14ac:dyDescent="0.2">
      <c r="A14" s="766"/>
      <c r="B14" s="3" t="s">
        <v>177</v>
      </c>
      <c r="C14" s="766" t="s">
        <v>178</v>
      </c>
      <c r="D14" s="600" t="str">
        <f>IF(OR('Input-EWEMs'!N42&gt;SUM('Input-Utilities'!D10:D12),'Lender Validation'!K75&gt;SUM('Input-Utilities'!D10:D12)),"Owner is projected to save more on energy costs than their historical spend. ","")</f>
        <v/>
      </c>
      <c r="E14" s="766"/>
      <c r="F14" s="766"/>
      <c r="G14" s="766"/>
      <c r="H14" s="766"/>
      <c r="I14" s="766"/>
      <c r="J14" s="766"/>
      <c r="K14" s="766"/>
      <c r="L14" s="766"/>
      <c r="M14" s="766"/>
    </row>
    <row r="15" spans="1:13" x14ac:dyDescent="0.2">
      <c r="A15" s="766"/>
      <c r="B15" s="3" t="s">
        <v>179</v>
      </c>
      <c r="C15" s="766" t="s">
        <v>178</v>
      </c>
      <c r="D15" s="600" t="str">
        <f>IF(OR('Input-EWEMs'!O42&gt;'Input-Utilities'!D13,'Lender Validation'!L75&gt;'Input-Utilities'!D13),"Owner is projected to save more on water costs than their historical spend. ","")</f>
        <v/>
      </c>
      <c r="E15" s="766"/>
      <c r="F15" s="766"/>
      <c r="G15" s="766"/>
      <c r="H15" s="766"/>
      <c r="I15" s="766"/>
      <c r="J15" s="766"/>
      <c r="K15" s="766"/>
      <c r="L15" s="766"/>
      <c r="M15" s="766"/>
    </row>
    <row r="16" spans="1:13" x14ac:dyDescent="0.2">
      <c r="A16" s="766"/>
      <c r="B16" s="3" t="s">
        <v>180</v>
      </c>
      <c r="C16" s="766" t="s">
        <v>178</v>
      </c>
      <c r="D16" s="600" t="str">
        <f>IF(OR('Input-EWEMs'!Q42&gt;SUM('Input-Utilities'!G10:G12),'Lender Validation'!N75&gt;SUM('Input-Utilities'!G10:G12)),"Tenants are projected to save more on energy costs than their historical spend. ","")</f>
        <v/>
      </c>
      <c r="E16" s="766"/>
      <c r="F16" s="766"/>
      <c r="G16" s="766"/>
      <c r="H16" s="766"/>
      <c r="I16" s="766"/>
      <c r="J16" s="766"/>
      <c r="K16" s="766"/>
      <c r="L16" s="766"/>
      <c r="M16" s="766"/>
    </row>
    <row r="17" spans="1:21" x14ac:dyDescent="0.2">
      <c r="A17" s="766"/>
      <c r="B17" s="3" t="s">
        <v>181</v>
      </c>
      <c r="C17" s="766" t="s">
        <v>178</v>
      </c>
      <c r="D17" s="600" t="str">
        <f>IF(OR('Input-EWEMs'!R42&gt;'Input-Utilities'!G13,'Lender Validation'!O75&gt;'Input-Utilities'!G13),"Tenants are projected to save more on water costs than their historical spend. ","")</f>
        <v/>
      </c>
      <c r="E17" s="766"/>
      <c r="F17" s="766"/>
      <c r="G17" s="766"/>
      <c r="H17" s="766"/>
      <c r="I17" s="766"/>
      <c r="J17" s="766"/>
      <c r="K17" s="766"/>
      <c r="L17" s="766"/>
      <c r="M17" s="766"/>
      <c r="N17" s="766"/>
      <c r="O17" s="766"/>
      <c r="P17" s="766"/>
      <c r="Q17" s="766"/>
      <c r="R17" s="766"/>
      <c r="S17" s="766"/>
      <c r="T17" s="766"/>
      <c r="U17" s="766"/>
    </row>
    <row r="18" spans="1:21" x14ac:dyDescent="0.2">
      <c r="A18" s="766"/>
      <c r="B18" s="3" t="s">
        <v>182</v>
      </c>
      <c r="C18" t="s">
        <v>183</v>
      </c>
      <c r="D18" s="600" t="str">
        <f>IF(SUMIF('Input-EWEMs'!D$12:D$41, "Domestic hot water heating",'Input-EWEMs'!AD$12:AD$41)&gt;'Input-Utilities'!G$45,"Energy savings from domestic hot water measures are greater than historical domestic hot water energy consumption. ","")</f>
        <v/>
      </c>
      <c r="E18" s="766"/>
      <c r="F18" s="766"/>
      <c r="G18" s="766"/>
      <c r="H18" s="766"/>
      <c r="I18" s="766"/>
      <c r="J18" s="766"/>
      <c r="K18" s="766"/>
      <c r="L18" s="766"/>
      <c r="M18" s="766"/>
      <c r="N18" s="766"/>
      <c r="O18" s="766"/>
      <c r="P18" s="766"/>
      <c r="Q18" s="766"/>
      <c r="R18" s="766"/>
      <c r="S18" s="766"/>
      <c r="T18" s="766"/>
      <c r="U18" s="766"/>
    </row>
    <row r="19" spans="1:21" x14ac:dyDescent="0.2">
      <c r="A19" s="766"/>
      <c r="B19" s="3" t="s">
        <v>184</v>
      </c>
      <c r="C19" t="s">
        <v>183</v>
      </c>
      <c r="D19" s="600" t="str">
        <f>IF(SUMIF('Input-EWEMs'!D$12:D$41, "Lighting",'Input-EWEMs'!AD$12:AD$41)&gt;'Input-Utilities'!H$45,"Energy savings from lighting measures are greater than historical lighting energy consumption. ","")</f>
        <v/>
      </c>
      <c r="E19" s="766"/>
      <c r="F19" s="766"/>
      <c r="G19" s="766"/>
      <c r="H19" s="766"/>
      <c r="I19" s="766"/>
      <c r="J19" s="766"/>
      <c r="K19" s="766"/>
      <c r="L19" s="766"/>
      <c r="M19" s="766"/>
      <c r="N19" s="766"/>
      <c r="O19" s="766"/>
      <c r="P19" s="766"/>
      <c r="Q19" s="766"/>
      <c r="R19" s="766"/>
      <c r="S19" s="766"/>
      <c r="T19" s="766"/>
      <c r="U19" s="766"/>
    </row>
    <row r="20" spans="1:21" x14ac:dyDescent="0.2">
      <c r="A20" s="766"/>
      <c r="B20" s="81" t="s">
        <v>185</v>
      </c>
      <c r="C20" s="41" t="s">
        <v>183</v>
      </c>
      <c r="D20" s="600" t="str">
        <f>IF(OR('Input-EWEMs'!AH42&gt;1, 'Lender Validation'!T75&gt;1), "EWEMs are projected to save more energy than historical consumption. ","")</f>
        <v/>
      </c>
      <c r="E20" s="766"/>
      <c r="F20" s="766"/>
      <c r="G20" s="766"/>
      <c r="H20" s="766"/>
      <c r="I20" s="766"/>
      <c r="J20" s="766"/>
      <c r="K20" s="766"/>
      <c r="L20" s="766"/>
      <c r="M20" s="766"/>
      <c r="N20" s="766"/>
      <c r="O20" s="766"/>
      <c r="P20" s="766"/>
      <c r="Q20" s="766"/>
      <c r="R20" s="766"/>
      <c r="S20" s="766"/>
      <c r="T20" s="766"/>
      <c r="U20" s="766"/>
    </row>
    <row r="21" spans="1:21" x14ac:dyDescent="0.2">
      <c r="A21" s="766"/>
      <c r="B21" s="81" t="s">
        <v>186</v>
      </c>
      <c r="C21" s="41" t="s">
        <v>183</v>
      </c>
      <c r="D21" s="600" t="str">
        <f>IF(OR('Input-EWEMs'!AJ42&gt;1, 'Lender Validation'!V75&gt;1), "EWEMs are projected to save more water than historical consumption. ","")</f>
        <v/>
      </c>
      <c r="E21" s="766"/>
      <c r="F21" s="766"/>
      <c r="G21" s="766"/>
      <c r="H21" s="766"/>
      <c r="I21" s="766"/>
      <c r="J21" s="766"/>
      <c r="K21" s="766"/>
      <c r="L21" s="766"/>
      <c r="M21" s="766"/>
      <c r="N21" s="766"/>
      <c r="O21" s="766"/>
      <c r="P21" s="766"/>
      <c r="Q21" s="766"/>
      <c r="R21" s="766"/>
      <c r="S21" s="766"/>
      <c r="T21" s="766"/>
      <c r="U21" s="766"/>
    </row>
    <row r="22" spans="1:21" x14ac:dyDescent="0.2">
      <c r="A22" s="766"/>
      <c r="B22" s="81" t="s">
        <v>187</v>
      </c>
      <c r="C22" s="41" t="s">
        <v>188</v>
      </c>
      <c r="D22" s="600" t="str">
        <f>IFERROR(IF(AND('Lender Validation'!J76&lt;&gt;0,'Lender Validation'!J76/'Input-Property'!D42&lt;200), "Total cost of selected EWEMs is less than $200/unit - confirm costs for selected EWEMs. ",""),"")</f>
        <v/>
      </c>
      <c r="E22" s="766"/>
      <c r="F22" s="766"/>
      <c r="G22" s="766"/>
      <c r="H22" s="766"/>
      <c r="I22" s="766"/>
      <c r="J22" s="766"/>
      <c r="K22" s="766"/>
      <c r="L22" s="766"/>
      <c r="M22" s="766"/>
      <c r="N22" s="766"/>
      <c r="O22" s="766"/>
      <c r="P22" s="766"/>
      <c r="Q22" s="766"/>
      <c r="R22" s="766"/>
      <c r="S22" s="766"/>
      <c r="T22" s="766"/>
      <c r="U22" s="766"/>
    </row>
    <row r="23" spans="1:21" x14ac:dyDescent="0.2">
      <c r="A23" s="766"/>
      <c r="B23" s="81"/>
      <c r="C23" s="41"/>
      <c r="D23" s="766"/>
      <c r="E23" s="766"/>
      <c r="F23" s="766"/>
      <c r="G23" s="766"/>
      <c r="H23" s="766"/>
      <c r="I23" s="766"/>
      <c r="J23" s="766"/>
      <c r="K23" s="766"/>
      <c r="L23" s="766"/>
      <c r="M23" s="766"/>
      <c r="N23" s="766"/>
      <c r="O23" s="766"/>
      <c r="P23" s="766"/>
      <c r="Q23" s="766"/>
      <c r="R23" s="766"/>
      <c r="S23" s="766"/>
      <c r="T23" s="766"/>
      <c r="U23" s="766"/>
    </row>
    <row r="24" spans="1:21" x14ac:dyDescent="0.2">
      <c r="A24" t="s">
        <v>189</v>
      </c>
      <c r="B24" s="3"/>
      <c r="C24" s="766"/>
      <c r="D24" s="766"/>
      <c r="E24" s="766"/>
      <c r="F24" s="766"/>
      <c r="G24" s="766"/>
      <c r="H24" s="766"/>
      <c r="I24" s="766"/>
      <c r="J24" s="766"/>
      <c r="K24" s="766"/>
      <c r="L24" s="766"/>
      <c r="M24" s="766"/>
      <c r="N24"/>
      <c r="O24" s="766"/>
      <c r="P24" s="766"/>
      <c r="Q24" s="766"/>
      <c r="R24" s="766"/>
      <c r="S24" s="766"/>
      <c r="T24" s="766"/>
      <c r="U24" s="766"/>
    </row>
    <row r="25" spans="1:21" s="599" customFormat="1" ht="80" x14ac:dyDescent="0.2">
      <c r="A25" s="767"/>
      <c r="B25" s="4"/>
      <c r="C25" s="1" t="s">
        <v>190</v>
      </c>
      <c r="D25" s="1" t="s">
        <v>191</v>
      </c>
      <c r="E25" s="1" t="s">
        <v>192</v>
      </c>
      <c r="F25" s="1" t="s">
        <v>193</v>
      </c>
      <c r="G25" s="1" t="s">
        <v>194</v>
      </c>
      <c r="H25" s="1" t="s">
        <v>195</v>
      </c>
      <c r="I25" s="1" t="s">
        <v>196</v>
      </c>
      <c r="J25" s="1" t="s">
        <v>197</v>
      </c>
      <c r="K25" s="1" t="s">
        <v>198</v>
      </c>
      <c r="L25" s="1" t="s">
        <v>199</v>
      </c>
      <c r="M25" s="1" t="s">
        <v>200</v>
      </c>
      <c r="N25" s="1" t="s">
        <v>201</v>
      </c>
      <c r="O25" s="1" t="s">
        <v>202</v>
      </c>
      <c r="P25" s="1" t="s">
        <v>201</v>
      </c>
      <c r="Q25" s="1" t="s">
        <v>202</v>
      </c>
      <c r="R25" s="1" t="s">
        <v>203</v>
      </c>
      <c r="S25" s="1" t="s">
        <v>204</v>
      </c>
      <c r="T25" s="767"/>
      <c r="U25" s="767"/>
    </row>
    <row r="26" spans="1:21" s="599" customFormat="1" ht="176" x14ac:dyDescent="0.2">
      <c r="A26" s="767"/>
      <c r="B26" s="767"/>
      <c r="C26" s="1" t="s">
        <v>205</v>
      </c>
      <c r="D26" s="1" t="s">
        <v>206</v>
      </c>
      <c r="E26" s="1" t="s">
        <v>207</v>
      </c>
      <c r="F26" s="1" t="s">
        <v>208</v>
      </c>
      <c r="G26" s="1" t="s">
        <v>209</v>
      </c>
      <c r="H26" s="1" t="s">
        <v>210</v>
      </c>
      <c r="I26" s="1" t="s">
        <v>211</v>
      </c>
      <c r="J26" s="1" t="s">
        <v>212</v>
      </c>
      <c r="K26" s="1" t="s">
        <v>213</v>
      </c>
      <c r="L26" s="1" t="s">
        <v>214</v>
      </c>
      <c r="M26" s="1" t="s">
        <v>215</v>
      </c>
      <c r="N26" s="1" t="s">
        <v>216</v>
      </c>
      <c r="O26" s="1" t="s">
        <v>217</v>
      </c>
      <c r="P26" s="1" t="s">
        <v>218</v>
      </c>
      <c r="Q26" s="1" t="s">
        <v>219</v>
      </c>
      <c r="R26" s="1" t="s">
        <v>220</v>
      </c>
      <c r="S26" s="696" t="s">
        <v>221</v>
      </c>
      <c r="T26" s="767"/>
      <c r="U26" s="767"/>
    </row>
    <row r="27" spans="1:21" x14ac:dyDescent="0.2">
      <c r="A27" t="s">
        <v>222</v>
      </c>
      <c r="B27" s="766"/>
      <c r="C27" s="766"/>
      <c r="D27" s="766"/>
      <c r="E27" s="766"/>
      <c r="F27" s="766"/>
      <c r="G27" s="766"/>
      <c r="H27" s="766"/>
      <c r="I27" s="766"/>
      <c r="J27" s="766"/>
      <c r="K27" s="766"/>
      <c r="L27" s="766"/>
      <c r="M27" s="766"/>
      <c r="N27" s="766"/>
      <c r="O27" s="766"/>
      <c r="P27" s="766"/>
      <c r="Q27" s="766"/>
      <c r="R27" s="766"/>
      <c r="S27" s="766"/>
      <c r="T27" s="766"/>
      <c r="U27" s="766"/>
    </row>
    <row r="28" spans="1:21" x14ac:dyDescent="0.2">
      <c r="A28" s="766">
        <v>1</v>
      </c>
      <c r="B28" s="766" t="str">
        <f>'Input-EWEMs'!E12</f>
        <v>Install smart thermostats</v>
      </c>
      <c r="C28" s="600" t="str">
        <f ca="1">D28&amp;E28&amp;F28&amp;G28&amp;H28&amp;I28&amp;J28&amp;K28&amp;L28&amp;M28&amp;N28&amp;O28&amp;P28&amp;Q28&amp;R28&amp;S28</f>
        <v/>
      </c>
      <c r="D28" s="768" t="str">
        <f>IF('Input-EWEMs'!D12="","",IF(AND(B28&lt;&gt;MeasureList!$D$9,SUM('Input-EWEMs'!P12,'Input-EWEMs'!S12)=0),D$26,""))</f>
        <v/>
      </c>
      <c r="E28" s="768" t="str">
        <f>IF('Input-EWEMs'!D12="","",IF(AND(B28&lt;&gt;MeasureList!$D$9,SUM('Input-EWEMs'!AH12,'Input-EWEMs'!AJ12)=0),E$26,""))</f>
        <v/>
      </c>
      <c r="F28" s="768" t="str">
        <f>IF(OR('Input-EWEMs'!D12="",AND('Input-EWEMs'!K12&gt;0,'Input-EWEMs'!L12&gt;0)),"","Cost of material and/or labor not included in installation cost. ")</f>
        <v/>
      </c>
      <c r="G28" s="768" t="str">
        <f ca="1">IF('Input-EWEMs'!E12="","",IF(COUNTIF(MeasureList!$A$3:$N$24,'Input-EWEMs'!E12)&gt;0,IF(ISNUMBER(MATCH('Input-EWEMs'!E12,INDIRECT("MeasureList!"&amp;ADDRESS(1,MATCH('Input-EWEMs'!D12,MeasureList!A$1:'MeasureList'!N$1,0))):INDIRECT("MeasureList!"&amp;ADDRESS(24,MATCH('Input-EWEMs'!D12,MeasureList!A$1:'MeasureList'!N$1,0))),0)),"","Selected EWEM Type does not match EWEM Category. "),"Nonstandard EWEM type was entered - select best match from provided dropdown list. "))</f>
        <v/>
      </c>
      <c r="H28" s="768" t="str">
        <f>IF('Input-EWEMs'!D12="Water and sewer conservation",IF('Input-EWEMs'!W12=0,"No water savings for EWEM Category: Water and Sewer Conservation. ",""),"")</f>
        <v/>
      </c>
      <c r="I28" s="768" t="str">
        <f>IF('Input-EWEMs'!D12&lt;&gt;"Water and sewer conservation",IF(AND(OR('Input-EWEMs'!W12&gt;0,'Input-EWEMs'!O12&gt;0,'Input-EWEMs'!R12&gt;0),B28&lt;&gt;"Replace washing machines with ENERGY STAR certified", B28&lt;&gt;"Replace dishwashers with ENERGY STAR certified"),I$26,""),"")</f>
        <v/>
      </c>
      <c r="J28" s="768" t="str">
        <f>IF(AND('Input-EWEMs'!E12="Install WaterSense low-flush toilets",'Input-EWEMs'!AH12&gt;0),EWEMQC!J$26,"")</f>
        <v/>
      </c>
      <c r="K28" s="768" t="str">
        <f>IF(AND(OR(B28="Install WaterSense low-flow bath faucets/aerators",B28="Install low-flow kitchen faucets/aerators",B28="Install WaterSense low-flow showerheads",B28="Install low-flow fixtures"),'Input-EWEMs'!AH12=0), K$26,"")</f>
        <v/>
      </c>
      <c r="L28" s="768" t="str">
        <f>IFERROR(INDEX(C$3:C$9,MATCH(B28,B$3:B$9,0)),"")</f>
        <v/>
      </c>
      <c r="M28" s="768" t="str">
        <f>IF(AND(OR(B28="Replace dishwashers with ENERGY STAR certified",B28="Replace washing machines with ENERGY STAR certified"),OR('Input-EWEMs'!AH12=0, 'Input-EWEMs'!AJ12=0)), M$26,"")</f>
        <v/>
      </c>
      <c r="N28" s="768" t="str">
        <f>IF(AND(B28="Upgrade common area lighting",'Input-EWEMs'!N12=0,'Input-Utilities'!$E$10&gt;0),N$26,"")</f>
        <v/>
      </c>
      <c r="O28" s="768" t="str">
        <f>IF(AND(B28="Upgrade in-unit lighting",'Input-EWEMs'!Q12=0,'Input-Utilities'!$D$32="Tenant"),O$26,"")</f>
        <v/>
      </c>
      <c r="P28" s="768" t="str">
        <f>IF(AND(B28="Upgrade common area lighting",'Input-EWEMs'!G12="Apartments"),P$26,"")</f>
        <v/>
      </c>
      <c r="Q28" s="768" t="str">
        <f>IF(AND(B28="Upgrade in-unit lighting",'Input-EWEMs'!G12="Common area"),Q$26,"")</f>
        <v/>
      </c>
      <c r="R28" s="766"/>
      <c r="S28" s="768" t="str">
        <f>IFERROR(IF('Input-EWEMs'!M12/'Input-EWEMs'!H12&lt;INDEX('QC Ranges'!C$19:C$29,MATCH(EWEMQC!B28,'QC Ranges'!$B$19:$B$29,0)),S$26,""),IFERROR(IF('Input-EWEMs'!M12/'Input-EWEMs'!I12&lt;INDEX('QC Ranges'!D$19:D$29,MATCH(EWEMQC!B28,'QC Ranges'!$B$19:$B$29,0)),S$26,""),""))</f>
        <v/>
      </c>
      <c r="T28" s="766"/>
      <c r="U28" s="713"/>
    </row>
    <row r="29" spans="1:21" x14ac:dyDescent="0.2">
      <c r="A29" s="766">
        <v>2</v>
      </c>
      <c r="B29" s="766" t="str">
        <f>'Input-EWEMs'!E13</f>
        <v>Replace wall/window AC</v>
      </c>
      <c r="C29" s="600" t="str">
        <f t="shared" ref="C29:C57" ca="1" si="0">D29&amp;E29&amp;F29&amp;G29&amp;H29&amp;I29&amp;J29&amp;K29&amp;L29&amp;M29&amp;N29&amp;O29&amp;P29&amp;Q29&amp;R29&amp;S29</f>
        <v/>
      </c>
      <c r="D29" s="768" t="str">
        <f>IF('Input-EWEMs'!D13="","",IF(AND(B29&lt;&gt;MeasureList!$D$9,SUM('Input-EWEMs'!P13,'Input-EWEMs'!S13)=0),D$26,""))</f>
        <v/>
      </c>
      <c r="E29" s="768" t="str">
        <f>IF('Input-EWEMs'!D13="","",IF(AND(B29&lt;&gt;MeasureList!$D$9,SUM('Input-EWEMs'!AH13,'Input-EWEMs'!AJ13)=0),E$26,""))</f>
        <v/>
      </c>
      <c r="F29" s="768" t="str">
        <f>IF(OR('Input-EWEMs'!D13="",AND('Input-EWEMs'!K13&gt;0,'Input-EWEMs'!L13&gt;0)),"","Cost of material and/or labor not included in installation cost. ")</f>
        <v/>
      </c>
      <c r="G29" s="768" t="str">
        <f ca="1">IF('Input-EWEMs'!E13="","",IF(COUNTIF(MeasureList!$A$3:$N$24,'Input-EWEMs'!E13)&gt;0,IF(ISNUMBER(MATCH('Input-EWEMs'!E13,INDIRECT("MeasureList!"&amp;ADDRESS(1,MATCH('Input-EWEMs'!D13,MeasureList!A$1:'MeasureList'!N$1,0))):INDIRECT("MeasureList!"&amp;ADDRESS(24,MATCH('Input-EWEMs'!D13,MeasureList!A$1:'MeasureList'!N$1,0))),0)),"","Selected EWEM Type does not match EWEM Category. "),"Nonstandard EWEM type was entered - select best match from provided dropdown list. "))</f>
        <v/>
      </c>
      <c r="H29" s="768" t="str">
        <f>IF('Input-EWEMs'!D13="Water and sewer conservation",IF('Input-EWEMs'!W13=0,"No water savings for EWEM Category: Water and Sewer Conservation. ",""),"")</f>
        <v/>
      </c>
      <c r="I29" s="768" t="str">
        <f>IF('Input-EWEMs'!D13&lt;&gt;"Water and sewer conservation",IF(AND(OR('Input-EWEMs'!W13&gt;0,'Input-EWEMs'!O13&gt;0,'Input-EWEMs'!R13&gt;0),B29&lt;&gt;"Replace washing machines with ENERGY STAR certified", B29&lt;&gt;"Replace dishwashers with ENERGY STAR certified"),I$26,""),"")</f>
        <v/>
      </c>
      <c r="J29" s="768" t="str">
        <f>IF(AND('Input-EWEMs'!E13="Install WaterSense low-flush toilets",'Input-EWEMs'!AH13&gt;0),EWEMQC!J$26,"")</f>
        <v/>
      </c>
      <c r="K29" s="768" t="str">
        <f>IF(AND(OR(B29="Install WaterSense low-flow bath faucets/aerators",B29="Install low-flow kitchen faucets/aerators",B29="Install WaterSense low-flow showerheads",B29="Install low-flow fixtures"),'Input-EWEMs'!AH13=0), K$26,"")</f>
        <v/>
      </c>
      <c r="L29" s="768" t="str">
        <f t="shared" ref="L29:L57" si="1">IFERROR(INDEX(C$3:C$9,MATCH(B29,B$3:B$9,0)),"")</f>
        <v/>
      </c>
      <c r="M29" s="768" t="str">
        <f>IF(AND(OR(B29="Replace dishwashers with ENERGY STAR certified",B29="Replace washing machines with ENERGY STAR certified"),OR('Input-EWEMs'!AH13=0, 'Input-EWEMs'!AJ13=0)), M$26,"")</f>
        <v/>
      </c>
      <c r="N29" s="768" t="str">
        <f>IF(AND(B29="Upgrade common area lighting",'Input-EWEMs'!N13=0,'Input-Utilities'!$E$10&gt;0),N$26,"")</f>
        <v/>
      </c>
      <c r="O29" s="768" t="str">
        <f>IF(AND(B29="Upgrade in-unit lighting",'Input-EWEMs'!Q13=0,'Input-Utilities'!$D$32="Tenant"),O$26,"")</f>
        <v/>
      </c>
      <c r="P29" s="768" t="str">
        <f>IF(AND(B29="Upgrade common area lighting",'Input-EWEMs'!G13="Apartments"),P$26,"")</f>
        <v/>
      </c>
      <c r="Q29" s="768" t="str">
        <f>IF(AND(B29="Upgrade in-unit lighting",'Input-EWEMs'!G13="Common area"),Q$26,"")</f>
        <v/>
      </c>
      <c r="R29" s="766"/>
      <c r="S29" s="768" t="str">
        <f>IFERROR(IF('Input-EWEMs'!M13/'Input-EWEMs'!H13&lt;INDEX('QC Ranges'!C$19:C$29,MATCH(EWEMQC!B29,'QC Ranges'!$B$19:$B$29,0)),S$26,""),IFERROR(IF('Input-EWEMs'!M13/'Input-EWEMs'!I13&lt;INDEX('QC Ranges'!D$19:D$29,MATCH(EWEMQC!B29,'QC Ranges'!$B$19:$B$29,0)),S$26,""),""))</f>
        <v/>
      </c>
      <c r="T29" s="766"/>
      <c r="U29" s="713"/>
    </row>
    <row r="30" spans="1:21" x14ac:dyDescent="0.2">
      <c r="A30" s="766">
        <v>3</v>
      </c>
      <c r="B30" s="766" t="str">
        <f>'Input-EWEMs'!E14</f>
        <v>Add pipe insulation</v>
      </c>
      <c r="C30" s="600" t="str">
        <f t="shared" ca="1" si="0"/>
        <v/>
      </c>
      <c r="D30" s="768" t="str">
        <f>IF('Input-EWEMs'!D14="","",IF(AND(B30&lt;&gt;MeasureList!$D$9,SUM('Input-EWEMs'!P14,'Input-EWEMs'!S14)=0),D$26,""))</f>
        <v/>
      </c>
      <c r="E30" s="768" t="str">
        <f>IF('Input-EWEMs'!D14="","",IF(AND(B30&lt;&gt;MeasureList!$D$9,SUM('Input-EWEMs'!AH14,'Input-EWEMs'!AJ14)=0),E$26,""))</f>
        <v/>
      </c>
      <c r="F30" s="768" t="str">
        <f>IF(OR('Input-EWEMs'!D14="",AND('Input-EWEMs'!K14&gt;0,'Input-EWEMs'!L14&gt;0)),"","Cost of material and/or labor not included in installation cost. ")</f>
        <v/>
      </c>
      <c r="G30" s="768" t="str">
        <f ca="1">IF('Input-EWEMs'!E14="","",IF(COUNTIF(MeasureList!$A$3:$N$24,'Input-EWEMs'!E14)&gt;0,IF(ISNUMBER(MATCH('Input-EWEMs'!E14,INDIRECT("MeasureList!"&amp;ADDRESS(1,MATCH('Input-EWEMs'!D14,MeasureList!A$1:'MeasureList'!N$1,0))):INDIRECT("MeasureList!"&amp;ADDRESS(24,MATCH('Input-EWEMs'!D14,MeasureList!A$1:'MeasureList'!N$1,0))),0)),"","Selected EWEM Type does not match EWEM Category. "),"Nonstandard EWEM type was entered - select best match from provided dropdown list. "))</f>
        <v/>
      </c>
      <c r="H30" s="768" t="str">
        <f>IF('Input-EWEMs'!D14="Water and sewer conservation",IF('Input-EWEMs'!W14=0,"No water savings for EWEM Category: Water and Sewer Conservation. ",""),"")</f>
        <v/>
      </c>
      <c r="I30" s="768" t="str">
        <f>IF('Input-EWEMs'!D14&lt;&gt;"Water and sewer conservation",IF(AND(OR('Input-EWEMs'!W14&gt;0,'Input-EWEMs'!O14&gt;0,'Input-EWEMs'!R14&gt;0),B30&lt;&gt;"Replace washing machines with ENERGY STAR certified", B30&lt;&gt;"Replace dishwashers with ENERGY STAR certified"),I$26,""),"")</f>
        <v/>
      </c>
      <c r="J30" s="768" t="str">
        <f>IF(AND('Input-EWEMs'!E14="Install WaterSense low-flush toilets",'Input-EWEMs'!AH14&gt;0),EWEMQC!J$26,"")</f>
        <v/>
      </c>
      <c r="K30" s="768" t="str">
        <f>IF(AND(OR(B30="Install WaterSense low-flow bath faucets/aerators",B30="Install low-flow kitchen faucets/aerators",B30="Install WaterSense low-flow showerheads",B30="Install low-flow fixtures"),'Input-EWEMs'!AH14=0), K$26,"")</f>
        <v/>
      </c>
      <c r="L30" s="768" t="str">
        <f t="shared" si="1"/>
        <v/>
      </c>
      <c r="M30" s="768" t="str">
        <f>IF(AND(OR(B30="Replace dishwashers with ENERGY STAR certified",B30="Replace washing machines with ENERGY STAR certified"),OR('Input-EWEMs'!AH14=0, 'Input-EWEMs'!AJ14=0)), M$26,"")</f>
        <v/>
      </c>
      <c r="N30" s="768" t="str">
        <f>IF(AND(B30="Upgrade common area lighting",'Input-EWEMs'!N14=0,'Input-Utilities'!$E$10&gt;0),N$26,"")</f>
        <v/>
      </c>
      <c r="O30" s="768" t="str">
        <f>IF(AND(B30="Upgrade in-unit lighting",'Input-EWEMs'!Q14=0,'Input-Utilities'!$D$32="Tenant"),O$26,"")</f>
        <v/>
      </c>
      <c r="P30" s="768" t="str">
        <f>IF(AND(B30="Upgrade common area lighting",'Input-EWEMs'!G14="Apartments"),P$26,"")</f>
        <v/>
      </c>
      <c r="Q30" s="768" t="str">
        <f>IF(AND(B30="Upgrade in-unit lighting",'Input-EWEMs'!G14="Common area"),Q$26,"")</f>
        <v/>
      </c>
      <c r="R30" s="766"/>
      <c r="S30" s="768" t="str">
        <f>IFERROR(IF('Input-EWEMs'!M14/'Input-EWEMs'!H14&lt;INDEX('QC Ranges'!C$19:C$29,MATCH(EWEMQC!B30,'QC Ranges'!$B$19:$B$29,0)),S$26,""),IFERROR(IF('Input-EWEMs'!M14/'Input-EWEMs'!I14&lt;INDEX('QC Ranges'!D$19:D$29,MATCH(EWEMQC!B30,'QC Ranges'!$B$19:$B$29,0)),S$26,""),""))</f>
        <v/>
      </c>
      <c r="T30" s="766"/>
      <c r="U30" s="766"/>
    </row>
    <row r="31" spans="1:21" x14ac:dyDescent="0.2">
      <c r="A31" s="766">
        <v>4</v>
      </c>
      <c r="B31" s="766" t="str">
        <f>'Input-EWEMs'!E15</f>
        <v>Upgrade in-unit lighting</v>
      </c>
      <c r="C31" s="600" t="str">
        <f t="shared" ca="1" si="0"/>
        <v/>
      </c>
      <c r="D31" s="768" t="str">
        <f>IF('Input-EWEMs'!D15="","",IF(AND(B31&lt;&gt;MeasureList!$D$9,SUM('Input-EWEMs'!P15,'Input-EWEMs'!S15)=0),D$26,""))</f>
        <v/>
      </c>
      <c r="E31" s="768" t="str">
        <f>IF('Input-EWEMs'!D15="","",IF(AND(B31&lt;&gt;MeasureList!$D$9,SUM('Input-EWEMs'!AH15,'Input-EWEMs'!AJ15)=0),E$26,""))</f>
        <v/>
      </c>
      <c r="F31" s="768" t="str">
        <f>IF(OR('Input-EWEMs'!D15="",AND('Input-EWEMs'!K15&gt;0,'Input-EWEMs'!L15&gt;0)),"","Cost of material and/or labor not included in installation cost. ")</f>
        <v/>
      </c>
      <c r="G31" s="768" t="str">
        <f ca="1">IF('Input-EWEMs'!E15="","",IF(COUNTIF(MeasureList!$A$3:$N$24,'Input-EWEMs'!E15)&gt;0,IF(ISNUMBER(MATCH('Input-EWEMs'!E15,INDIRECT("MeasureList!"&amp;ADDRESS(1,MATCH('Input-EWEMs'!D15,MeasureList!A$1:'MeasureList'!N$1,0))):INDIRECT("MeasureList!"&amp;ADDRESS(24,MATCH('Input-EWEMs'!D15,MeasureList!A$1:'MeasureList'!N$1,0))),0)),"","Selected EWEM Type does not match EWEM Category. "),"Nonstandard EWEM type was entered - select best match from provided dropdown list. "))</f>
        <v/>
      </c>
      <c r="H31" s="768" t="str">
        <f>IF('Input-EWEMs'!D15="Water and sewer conservation",IF('Input-EWEMs'!W15=0,"No water savings for EWEM Category: Water and Sewer Conservation. ",""),"")</f>
        <v/>
      </c>
      <c r="I31" s="768" t="str">
        <f>IF('Input-EWEMs'!D15&lt;&gt;"Water and sewer conservation",IF(AND(OR('Input-EWEMs'!W15&gt;0,'Input-EWEMs'!O15&gt;0,'Input-EWEMs'!R15&gt;0),B31&lt;&gt;"Replace washing machines with ENERGY STAR certified", B31&lt;&gt;"Replace dishwashers with ENERGY STAR certified"),I$26,""),"")</f>
        <v/>
      </c>
      <c r="J31" s="768" t="str">
        <f>IF(AND('Input-EWEMs'!E15="Install WaterSense low-flush toilets",'Input-EWEMs'!AH15&gt;0),EWEMQC!J$26,"")</f>
        <v/>
      </c>
      <c r="K31" s="768" t="str">
        <f>IF(AND(OR(B31="Install WaterSense low-flow bath faucets/aerators",B31="Install low-flow kitchen faucets/aerators",B31="Install WaterSense low-flow showerheads",B31="Install low-flow fixtures"),'Input-EWEMs'!AH15=0), K$26,"")</f>
        <v/>
      </c>
      <c r="L31" s="768" t="str">
        <f t="shared" si="1"/>
        <v/>
      </c>
      <c r="M31" s="768" t="str">
        <f>IF(AND(OR(B31="Replace dishwashers with ENERGY STAR certified",B31="Replace washing machines with ENERGY STAR certified"),OR('Input-EWEMs'!AH15=0, 'Input-EWEMs'!AJ15=0)), M$26,"")</f>
        <v/>
      </c>
      <c r="N31" s="768" t="str">
        <f>IF(AND(B31="Upgrade common area lighting",'Input-EWEMs'!N15=0,'Input-Utilities'!$E$10&gt;0),N$26,"")</f>
        <v/>
      </c>
      <c r="O31" s="768" t="str">
        <f>IF(AND(B31="Upgrade in-unit lighting",'Input-EWEMs'!Q15=0,'Input-Utilities'!$D$32="Tenant"),O$26,"")</f>
        <v/>
      </c>
      <c r="P31" s="768" t="str">
        <f>IF(AND(B31="Upgrade common area lighting",'Input-EWEMs'!G15="Apartments"),P$26,"")</f>
        <v/>
      </c>
      <c r="Q31" s="768" t="str">
        <f>IF(AND(B31="Upgrade in-unit lighting",'Input-EWEMs'!G15="Common area"),Q$26,"")</f>
        <v/>
      </c>
      <c r="R31" s="766"/>
      <c r="S31" s="768" t="str">
        <f>IFERROR(IF('Input-EWEMs'!M15/'Input-EWEMs'!H15&lt;INDEX('QC Ranges'!C$19:C$29,MATCH(EWEMQC!B31,'QC Ranges'!$B$19:$B$29,0)),S$26,""),IFERROR(IF('Input-EWEMs'!M15/'Input-EWEMs'!I15&lt;INDEX('QC Ranges'!D$19:D$29,MATCH(EWEMQC!B31,'QC Ranges'!$B$19:$B$29,0)),S$26,""),""))</f>
        <v/>
      </c>
      <c r="T31" s="766"/>
      <c r="U31" s="766"/>
    </row>
    <row r="32" spans="1:21" x14ac:dyDescent="0.2">
      <c r="A32" s="766">
        <v>5</v>
      </c>
      <c r="B32" s="766" t="str">
        <f>'Input-EWEMs'!E16</f>
        <v>Upgrade common area lighting</v>
      </c>
      <c r="C32" s="600" t="str">
        <f t="shared" ca="1" si="0"/>
        <v/>
      </c>
      <c r="D32" s="768" t="str">
        <f>IF('Input-EWEMs'!D16="","",IF(AND(B32&lt;&gt;MeasureList!$D$9,SUM('Input-EWEMs'!P16,'Input-EWEMs'!S16)=0),D$26,""))</f>
        <v/>
      </c>
      <c r="E32" s="768" t="str">
        <f>IF('Input-EWEMs'!D16="","",IF(AND(B32&lt;&gt;MeasureList!$D$9,SUM('Input-EWEMs'!AH16,'Input-EWEMs'!AJ16)=0),E$26,""))</f>
        <v/>
      </c>
      <c r="F32" s="768" t="str">
        <f>IF(OR('Input-EWEMs'!D16="",AND('Input-EWEMs'!K16&gt;0,'Input-EWEMs'!L16&gt;0)),"","Cost of material and/or labor not included in installation cost. ")</f>
        <v/>
      </c>
      <c r="G32" s="768" t="str">
        <f ca="1">IF('Input-EWEMs'!E16="","",IF(COUNTIF(MeasureList!$A$3:$N$24,'Input-EWEMs'!E16)&gt;0,IF(ISNUMBER(MATCH('Input-EWEMs'!E16,INDIRECT("MeasureList!"&amp;ADDRESS(1,MATCH('Input-EWEMs'!D16,MeasureList!A$1:'MeasureList'!N$1,0))):INDIRECT("MeasureList!"&amp;ADDRESS(24,MATCH('Input-EWEMs'!D16,MeasureList!A$1:'MeasureList'!N$1,0))),0)),"","Selected EWEM Type does not match EWEM Category. "),"Nonstandard EWEM type was entered - select best match from provided dropdown list. "))</f>
        <v/>
      </c>
      <c r="H32" s="768" t="str">
        <f>IF('Input-EWEMs'!D16="Water and sewer conservation",IF('Input-EWEMs'!W16=0,"No water savings for EWEM Category: Water and Sewer Conservation. ",""),"")</f>
        <v/>
      </c>
      <c r="I32" s="768" t="str">
        <f>IF('Input-EWEMs'!D16&lt;&gt;"Water and sewer conservation",IF(AND(OR('Input-EWEMs'!W16&gt;0,'Input-EWEMs'!O16&gt;0,'Input-EWEMs'!R16&gt;0),B32&lt;&gt;"Replace washing machines with ENERGY STAR certified", B32&lt;&gt;"Replace dishwashers with ENERGY STAR certified"),I$26,""),"")</f>
        <v/>
      </c>
      <c r="J32" s="768" t="str">
        <f>IF(AND('Input-EWEMs'!E16="Install WaterSense low-flush toilets",'Input-EWEMs'!AH16&gt;0),EWEMQC!J$26,"")</f>
        <v/>
      </c>
      <c r="K32" s="768" t="str">
        <f>IF(AND(OR(B32="Install WaterSense low-flow bath faucets/aerators",B32="Install low-flow kitchen faucets/aerators",B32="Install WaterSense low-flow showerheads",B32="Install low-flow fixtures"),'Input-EWEMs'!AH16=0), K$26,"")</f>
        <v/>
      </c>
      <c r="L32" s="768" t="str">
        <f t="shared" si="1"/>
        <v/>
      </c>
      <c r="M32" s="768" t="str">
        <f>IF(AND(OR(B32="Replace dishwashers with ENERGY STAR certified",B32="Replace washing machines with ENERGY STAR certified"),OR('Input-EWEMs'!AH16=0, 'Input-EWEMs'!AJ16=0)), M$26,"")</f>
        <v/>
      </c>
      <c r="N32" s="768" t="str">
        <f>IF(AND(B32="Upgrade common area lighting",'Input-EWEMs'!N16=0,'Input-Utilities'!$E$10&gt;0),N$26,"")</f>
        <v/>
      </c>
      <c r="O32" s="768" t="str">
        <f>IF(AND(B32="Upgrade in-unit lighting",'Input-EWEMs'!Q16=0,'Input-Utilities'!$D$32="Tenant"),O$26,"")</f>
        <v/>
      </c>
      <c r="P32" s="768" t="str">
        <f>IF(AND(B32="Upgrade common area lighting",'Input-EWEMs'!G16="Apartments"),P$26,"")</f>
        <v/>
      </c>
      <c r="Q32" s="768" t="str">
        <f>IF(AND(B32="Upgrade in-unit lighting",'Input-EWEMs'!G16="Common area"),Q$26,"")</f>
        <v/>
      </c>
      <c r="R32" s="766"/>
      <c r="S32" s="768" t="str">
        <f>IFERROR(IF('Input-EWEMs'!M16/'Input-EWEMs'!H16&lt;INDEX('QC Ranges'!C$19:C$29,MATCH(EWEMQC!B32,'QC Ranges'!$B$19:$B$29,0)),S$26,""),IFERROR(IF('Input-EWEMs'!M16/'Input-EWEMs'!I16&lt;INDEX('QC Ranges'!D$19:D$29,MATCH(EWEMQC!B32,'QC Ranges'!$B$19:$B$29,0)),S$26,""),""))</f>
        <v/>
      </c>
      <c r="T32" s="766"/>
      <c r="U32" s="766"/>
    </row>
    <row r="33" spans="1:19" x14ac:dyDescent="0.2">
      <c r="A33" s="766">
        <v>6</v>
      </c>
      <c r="B33" s="766" t="str">
        <f>'Input-EWEMs'!E17</f>
        <v>Install sensors/controls</v>
      </c>
      <c r="C33" s="600" t="str">
        <f t="shared" ca="1" si="0"/>
        <v/>
      </c>
      <c r="D33" s="768" t="str">
        <f>IF('Input-EWEMs'!D17="","",IF(AND(B33&lt;&gt;MeasureList!$D$9,SUM('Input-EWEMs'!P17,'Input-EWEMs'!S17)=0),D$26,""))</f>
        <v/>
      </c>
      <c r="E33" s="768" t="str">
        <f>IF('Input-EWEMs'!D17="","",IF(AND(B33&lt;&gt;MeasureList!$D$9,SUM('Input-EWEMs'!AH17,'Input-EWEMs'!AJ17)=0),E$26,""))</f>
        <v/>
      </c>
      <c r="F33" s="768" t="str">
        <f>IF(OR('Input-EWEMs'!D17="",AND('Input-EWEMs'!K17&gt;0,'Input-EWEMs'!L17&gt;0)),"","Cost of material and/or labor not included in installation cost. ")</f>
        <v/>
      </c>
      <c r="G33" s="768" t="str">
        <f ca="1">IF('Input-EWEMs'!E17="","",IF(COUNTIF(MeasureList!$A$3:$N$24,'Input-EWEMs'!E17)&gt;0,IF(ISNUMBER(MATCH('Input-EWEMs'!E17,INDIRECT("MeasureList!"&amp;ADDRESS(1,MATCH('Input-EWEMs'!D17,MeasureList!A$1:'MeasureList'!N$1,0))):INDIRECT("MeasureList!"&amp;ADDRESS(24,MATCH('Input-EWEMs'!D17,MeasureList!A$1:'MeasureList'!N$1,0))),0)),"","Selected EWEM Type does not match EWEM Category. "),"Nonstandard EWEM type was entered - select best match from provided dropdown list. "))</f>
        <v/>
      </c>
      <c r="H33" s="768" t="str">
        <f>IF('Input-EWEMs'!D17="Water and sewer conservation",IF('Input-EWEMs'!W17=0,"No water savings for EWEM Category: Water and Sewer Conservation. ",""),"")</f>
        <v/>
      </c>
      <c r="I33" s="768" t="str">
        <f>IF('Input-EWEMs'!D17&lt;&gt;"Water and sewer conservation",IF(AND(OR('Input-EWEMs'!W17&gt;0,'Input-EWEMs'!O17&gt;0,'Input-EWEMs'!R17&gt;0),B33&lt;&gt;"Replace washing machines with ENERGY STAR certified", B33&lt;&gt;"Replace dishwashers with ENERGY STAR certified"),I$26,""),"")</f>
        <v/>
      </c>
      <c r="J33" s="768" t="str">
        <f>IF(AND('Input-EWEMs'!E17="Install WaterSense low-flush toilets",'Input-EWEMs'!AH17&gt;0),EWEMQC!J$26,"")</f>
        <v/>
      </c>
      <c r="K33" s="768" t="str">
        <f>IF(AND(OR(B33="Install WaterSense low-flow bath faucets/aerators",B33="Install low-flow kitchen faucets/aerators",B33="Install WaterSense low-flow showerheads",B33="Install low-flow fixtures"),'Input-EWEMs'!AH17=0), K$26,"")</f>
        <v/>
      </c>
      <c r="L33" s="768" t="str">
        <f t="shared" si="1"/>
        <v/>
      </c>
      <c r="M33" s="768" t="str">
        <f>IF(AND(OR(B33="Replace dishwashers with ENERGY STAR certified",B33="Replace washing machines with ENERGY STAR certified"),OR('Input-EWEMs'!AH17=0, 'Input-EWEMs'!AJ17=0)), M$26,"")</f>
        <v/>
      </c>
      <c r="N33" s="768" t="str">
        <f>IF(AND(B33="Upgrade common area lighting",'Input-EWEMs'!N17=0,'Input-Utilities'!$E$10&gt;0),N$26,"")</f>
        <v/>
      </c>
      <c r="O33" s="768" t="str">
        <f>IF(AND(B33="Upgrade in-unit lighting",'Input-EWEMs'!Q17=0,'Input-Utilities'!$D$32="Tenant"),O$26,"")</f>
        <v/>
      </c>
      <c r="P33" s="768" t="str">
        <f>IF(AND(B33="Upgrade common area lighting",'Input-EWEMs'!G17="Apartments"),P$26,"")</f>
        <v/>
      </c>
      <c r="Q33" s="768" t="str">
        <f>IF(AND(B33="Upgrade in-unit lighting",'Input-EWEMs'!G17="Common area"),Q$26,"")</f>
        <v/>
      </c>
      <c r="R33" s="766"/>
      <c r="S33" s="768" t="str">
        <f>IFERROR(IF('Input-EWEMs'!M17/'Input-EWEMs'!H17&lt;INDEX('QC Ranges'!C$19:C$29,MATCH(EWEMQC!B33,'QC Ranges'!$B$19:$B$29,0)),S$26,""),IFERROR(IF('Input-EWEMs'!M17/'Input-EWEMs'!I17&lt;INDEX('QC Ranges'!D$19:D$29,MATCH(EWEMQC!B33,'QC Ranges'!$B$19:$B$29,0)),S$26,""),""))</f>
        <v/>
      </c>
    </row>
    <row r="34" spans="1:19" x14ac:dyDescent="0.2">
      <c r="A34" s="766">
        <v>7</v>
      </c>
      <c r="B34" s="766" t="str">
        <f>'Input-EWEMs'!E18</f>
        <v>Replace refrigerators with ENERGY STAR certified</v>
      </c>
      <c r="C34" s="600" t="str">
        <f t="shared" ca="1" si="0"/>
        <v xml:space="preserve">Cost is not within expected range. </v>
      </c>
      <c r="D34" s="768" t="str">
        <f>IF('Input-EWEMs'!D18="","",IF(AND(B34&lt;&gt;MeasureList!$D$9,SUM('Input-EWEMs'!P18,'Input-EWEMs'!S18)=0),D$26,""))</f>
        <v/>
      </c>
      <c r="E34" s="768" t="str">
        <f>IF('Input-EWEMs'!D18="","",IF(AND(B34&lt;&gt;MeasureList!$D$9,SUM('Input-EWEMs'!AH18,'Input-EWEMs'!AJ18)=0),E$26,""))</f>
        <v/>
      </c>
      <c r="F34" s="768" t="str">
        <f>IF(OR('Input-EWEMs'!D18="",AND('Input-EWEMs'!K18&gt;0,'Input-EWEMs'!L18&gt;0)),"","Cost of material and/or labor not included in installation cost. ")</f>
        <v/>
      </c>
      <c r="G34" s="768" t="str">
        <f ca="1">IF('Input-EWEMs'!E18="","",IF(COUNTIF(MeasureList!$A$3:$N$24,'Input-EWEMs'!E18)&gt;0,IF(ISNUMBER(MATCH('Input-EWEMs'!E18,INDIRECT("MeasureList!"&amp;ADDRESS(1,MATCH('Input-EWEMs'!D18,MeasureList!A$1:'MeasureList'!N$1,0))):INDIRECT("MeasureList!"&amp;ADDRESS(24,MATCH('Input-EWEMs'!D18,MeasureList!A$1:'MeasureList'!N$1,0))),0)),"","Selected EWEM Type does not match EWEM Category. "),"Nonstandard EWEM type was entered - select best match from provided dropdown list. "))</f>
        <v/>
      </c>
      <c r="H34" s="768" t="str">
        <f>IF('Input-EWEMs'!D18="Water and sewer conservation",IF('Input-EWEMs'!W18=0,"No water savings for EWEM Category: Water and Sewer Conservation. ",""),"")</f>
        <v/>
      </c>
      <c r="I34" s="768" t="str">
        <f>IF('Input-EWEMs'!D18&lt;&gt;"Water and sewer conservation",IF(AND(OR('Input-EWEMs'!W18&gt;0,'Input-EWEMs'!O18&gt;0,'Input-EWEMs'!R18&gt;0),B34&lt;&gt;"Replace washing machines with ENERGY STAR certified", B34&lt;&gt;"Replace dishwashers with ENERGY STAR certified"),I$26,""),"")</f>
        <v/>
      </c>
      <c r="J34" s="768" t="str">
        <f>IF(AND('Input-EWEMs'!E18="Install WaterSense low-flush toilets",'Input-EWEMs'!AH18&gt;0),EWEMQC!J$26,"")</f>
        <v/>
      </c>
      <c r="K34" s="768" t="str">
        <f>IF(AND(OR(B34="Install WaterSense low-flow bath faucets/aerators",B34="Install low-flow kitchen faucets/aerators",B34="Install WaterSense low-flow showerheads",B34="Install low-flow fixtures"),'Input-EWEMs'!AH18=0), K$26,"")</f>
        <v/>
      </c>
      <c r="L34" s="768" t="str">
        <f t="shared" si="1"/>
        <v/>
      </c>
      <c r="M34" s="768" t="str">
        <f>IF(AND(OR(B34="Replace dishwashers with ENERGY STAR certified",B34="Replace washing machines with ENERGY STAR certified"),OR('Input-EWEMs'!AH18=0, 'Input-EWEMs'!AJ18=0)), M$26,"")</f>
        <v/>
      </c>
      <c r="N34" s="768" t="str">
        <f>IF(AND(B34="Upgrade common area lighting",'Input-EWEMs'!N18=0,'Input-Utilities'!$E$10&gt;0),N$26,"")</f>
        <v/>
      </c>
      <c r="O34" s="768" t="str">
        <f>IF(AND(B34="Upgrade in-unit lighting",'Input-EWEMs'!Q18=0,'Input-Utilities'!$D$32="Tenant"),O$26,"")</f>
        <v/>
      </c>
      <c r="P34" s="768" t="str">
        <f>IF(AND(B34="Upgrade common area lighting",'Input-EWEMs'!G18="Apartments"),P$26,"")</f>
        <v/>
      </c>
      <c r="Q34" s="768" t="str">
        <f>IF(AND(B34="Upgrade in-unit lighting",'Input-EWEMs'!G18="Common area"),Q$26,"")</f>
        <v/>
      </c>
      <c r="R34" s="766"/>
      <c r="S34" s="768" t="str">
        <f>IFERROR(IF('Input-EWEMs'!M18/'Input-EWEMs'!H18&lt;INDEX('QC Ranges'!C$19:C$29,MATCH(EWEMQC!B34,'QC Ranges'!$B$19:$B$29,0)),S$26,""),IFERROR(IF('Input-EWEMs'!M18/'Input-EWEMs'!I18&lt;INDEX('QC Ranges'!D$19:D$29,MATCH(EWEMQC!B34,'QC Ranges'!$B$19:$B$29,0)),S$26,""),""))</f>
        <v xml:space="preserve">Cost is not within expected range. </v>
      </c>
    </row>
    <row r="35" spans="1:19" x14ac:dyDescent="0.2">
      <c r="A35" s="766">
        <v>8</v>
      </c>
      <c r="B35" s="766" t="str">
        <f>'Input-EWEMs'!E19</f>
        <v>Replace dishwashers with ENERGY STAR certified</v>
      </c>
      <c r="C35" s="600" t="str">
        <f t="shared" ca="1" si="0"/>
        <v/>
      </c>
      <c r="D35" s="768" t="str">
        <f>IF('Input-EWEMs'!D19="","",IF(AND(B35&lt;&gt;MeasureList!$D$9,SUM('Input-EWEMs'!P19,'Input-EWEMs'!S19)=0),D$26,""))</f>
        <v/>
      </c>
      <c r="E35" s="768" t="str">
        <f>IF('Input-EWEMs'!D19="","",IF(AND(B35&lt;&gt;MeasureList!$D$9,SUM('Input-EWEMs'!AH19,'Input-EWEMs'!AJ19)=0),E$26,""))</f>
        <v/>
      </c>
      <c r="F35" s="768" t="str">
        <f>IF(OR('Input-EWEMs'!D19="",AND('Input-EWEMs'!K19&gt;0,'Input-EWEMs'!L19&gt;0)),"","Cost of material and/or labor not included in installation cost. ")</f>
        <v/>
      </c>
      <c r="G35" s="768" t="str">
        <f ca="1">IF('Input-EWEMs'!E19="","",IF(COUNTIF(MeasureList!$A$3:$N$24,'Input-EWEMs'!E19)&gt;0,IF(ISNUMBER(MATCH('Input-EWEMs'!E19,INDIRECT("MeasureList!"&amp;ADDRESS(1,MATCH('Input-EWEMs'!D19,MeasureList!A$1:'MeasureList'!N$1,0))):INDIRECT("MeasureList!"&amp;ADDRESS(24,MATCH('Input-EWEMs'!D19,MeasureList!A$1:'MeasureList'!N$1,0))),0)),"","Selected EWEM Type does not match EWEM Category. "),"Nonstandard EWEM type was entered - select best match from provided dropdown list. "))</f>
        <v/>
      </c>
      <c r="H35" s="768" t="str">
        <f>IF('Input-EWEMs'!D19="Water and sewer conservation",IF('Input-EWEMs'!W19=0,"No water savings for EWEM Category: Water and Sewer Conservation. ",""),"")</f>
        <v/>
      </c>
      <c r="I35" s="768" t="str">
        <f>IF('Input-EWEMs'!D19&lt;&gt;"Water and sewer conservation",IF(AND(OR('Input-EWEMs'!W19&gt;0,'Input-EWEMs'!O19&gt;0,'Input-EWEMs'!R19&gt;0),B35&lt;&gt;"Replace washing machines with ENERGY STAR certified", B35&lt;&gt;"Replace dishwashers with ENERGY STAR certified"),I$26,""),"")</f>
        <v/>
      </c>
      <c r="J35" s="768" t="str">
        <f>IF(AND('Input-EWEMs'!E19="Install WaterSense low-flush toilets",'Input-EWEMs'!AH19&gt;0),EWEMQC!J$26,"")</f>
        <v/>
      </c>
      <c r="K35" s="768" t="str">
        <f>IF(AND(OR(B35="Install WaterSense low-flow bath faucets/aerators",B35="Install low-flow kitchen faucets/aerators",B35="Install WaterSense low-flow showerheads",B35="Install low-flow fixtures"),'Input-EWEMs'!AH19=0), K$26,"")</f>
        <v/>
      </c>
      <c r="L35" s="768" t="str">
        <f t="shared" si="1"/>
        <v/>
      </c>
      <c r="M35" s="768" t="str">
        <f>IF(AND(OR(B35="Replace dishwashers with ENERGY STAR certified",B35="Replace washing machines with ENERGY STAR certified"),OR('Input-EWEMs'!AH19=0, 'Input-EWEMs'!AJ19=0)), M$26,"")</f>
        <v/>
      </c>
      <c r="N35" s="768" t="str">
        <f>IF(AND(B35="Upgrade common area lighting",'Input-EWEMs'!N19=0,'Input-Utilities'!$E$10&gt;0),N$26,"")</f>
        <v/>
      </c>
      <c r="O35" s="768" t="str">
        <f>IF(AND(B35="Upgrade in-unit lighting",'Input-EWEMs'!Q19=0,'Input-Utilities'!$D$32="Tenant"),O$26,"")</f>
        <v/>
      </c>
      <c r="P35" s="768" t="str">
        <f>IF(AND(B35="Upgrade common area lighting",'Input-EWEMs'!G19="Apartments"),P$26,"")</f>
        <v/>
      </c>
      <c r="Q35" s="768" t="str">
        <f>IF(AND(B35="Upgrade in-unit lighting",'Input-EWEMs'!G19="Common area"),Q$26,"")</f>
        <v/>
      </c>
      <c r="R35" s="766"/>
      <c r="S35" s="768" t="str">
        <f>IFERROR(IF('Input-EWEMs'!M19/'Input-EWEMs'!H19&lt;INDEX('QC Ranges'!C$19:C$29,MATCH(EWEMQC!B35,'QC Ranges'!$B$19:$B$29,0)),S$26,""),IFERROR(IF('Input-EWEMs'!M19/'Input-EWEMs'!I19&lt;INDEX('QC Ranges'!D$19:D$29,MATCH(EWEMQC!B35,'QC Ranges'!$B$19:$B$29,0)),S$26,""),""))</f>
        <v/>
      </c>
    </row>
    <row r="36" spans="1:19" x14ac:dyDescent="0.2">
      <c r="A36" s="766">
        <v>9</v>
      </c>
      <c r="B36" s="766" t="str">
        <f>'Input-EWEMs'!E20</f>
        <v>Install WaterSense low-flow bath faucets/aerators</v>
      </c>
      <c r="C36" s="600" t="str">
        <f t="shared" ca="1" si="0"/>
        <v/>
      </c>
      <c r="D36" s="768" t="str">
        <f>IF('Input-EWEMs'!D20="","",IF(AND(B36&lt;&gt;MeasureList!$D$9,SUM('Input-EWEMs'!P20,'Input-EWEMs'!S20)=0),D$26,""))</f>
        <v/>
      </c>
      <c r="E36" s="768" t="str">
        <f>IF('Input-EWEMs'!D20="","",IF(AND(B36&lt;&gt;MeasureList!$D$9,SUM('Input-EWEMs'!AH20,'Input-EWEMs'!AJ20)=0),E$26,""))</f>
        <v/>
      </c>
      <c r="F36" s="768" t="str">
        <f>IF(OR('Input-EWEMs'!D20="",AND('Input-EWEMs'!K20&gt;0,'Input-EWEMs'!L20&gt;0)),"","Cost of material and/or labor not included in installation cost. ")</f>
        <v/>
      </c>
      <c r="G36" s="768" t="str">
        <f ca="1">IF('Input-EWEMs'!E20="","",IF(COUNTIF(MeasureList!$A$3:$N$24,'Input-EWEMs'!E20)&gt;0,IF(ISNUMBER(MATCH('Input-EWEMs'!E20,INDIRECT("MeasureList!"&amp;ADDRESS(1,MATCH('Input-EWEMs'!D20,MeasureList!A$1:'MeasureList'!N$1,0))):INDIRECT("MeasureList!"&amp;ADDRESS(24,MATCH('Input-EWEMs'!D20,MeasureList!A$1:'MeasureList'!N$1,0))),0)),"","Selected EWEM Type does not match EWEM Category. "),"Nonstandard EWEM type was entered - select best match from provided dropdown list. "))</f>
        <v/>
      </c>
      <c r="H36" s="768" t="str">
        <f>IF('Input-EWEMs'!D20="Water and sewer conservation",IF('Input-EWEMs'!W20=0,"No water savings for EWEM Category: Water and Sewer Conservation. ",""),"")</f>
        <v/>
      </c>
      <c r="I36" s="768" t="str">
        <f>IF('Input-EWEMs'!D20&lt;&gt;"Water and sewer conservation",IF(AND(OR('Input-EWEMs'!W20&gt;0,'Input-EWEMs'!O20&gt;0,'Input-EWEMs'!R20&gt;0),B36&lt;&gt;"Replace washing machines with ENERGY STAR certified", B36&lt;&gt;"Replace dishwashers with ENERGY STAR certified"),I$26,""),"")</f>
        <v/>
      </c>
      <c r="J36" s="768" t="str">
        <f>IF(AND('Input-EWEMs'!E20="Install WaterSense low-flush toilets",'Input-EWEMs'!AH20&gt;0),EWEMQC!J$26,"")</f>
        <v/>
      </c>
      <c r="K36" s="768" t="str">
        <f>IF(AND(OR(B36="Install WaterSense low-flow bath faucets/aerators",B36="Install low-flow kitchen faucets/aerators",B36="Install WaterSense low-flow showerheads",B36="Install low-flow fixtures"),'Input-EWEMs'!AH20=0), K$26,"")</f>
        <v/>
      </c>
      <c r="L36" s="768" t="str">
        <f t="shared" si="1"/>
        <v/>
      </c>
      <c r="M36" s="768" t="str">
        <f>IF(AND(OR(B36="Replace dishwashers with ENERGY STAR certified",B36="Replace washing machines with ENERGY STAR certified"),OR('Input-EWEMs'!AH20=0, 'Input-EWEMs'!AJ20=0)), M$26,"")</f>
        <v/>
      </c>
      <c r="N36" s="768" t="str">
        <f>IF(AND(B36="Upgrade common area lighting",'Input-EWEMs'!N20=0,'Input-Utilities'!$E$10&gt;0),N$26,"")</f>
        <v/>
      </c>
      <c r="O36" s="768" t="str">
        <f>IF(AND(B36="Upgrade in-unit lighting",'Input-EWEMs'!Q20=0,'Input-Utilities'!$D$32="Tenant"),O$26,"")</f>
        <v/>
      </c>
      <c r="P36" s="768" t="str">
        <f>IF(AND(B36="Upgrade common area lighting",'Input-EWEMs'!G20="Apartments"),P$26,"")</f>
        <v/>
      </c>
      <c r="Q36" s="768" t="str">
        <f>IF(AND(B36="Upgrade in-unit lighting",'Input-EWEMs'!G20="Common area"),Q$26,"")</f>
        <v/>
      </c>
      <c r="R36" s="766"/>
      <c r="S36" s="768" t="str">
        <f>IFERROR(IF('Input-EWEMs'!M20/'Input-EWEMs'!H20&lt;INDEX('QC Ranges'!C$19:C$29,MATCH(EWEMQC!B36,'QC Ranges'!$B$19:$B$29,0)),S$26,""),IFERROR(IF('Input-EWEMs'!M20/'Input-EWEMs'!I20&lt;INDEX('QC Ranges'!D$19:D$29,MATCH(EWEMQC!B36,'QC Ranges'!$B$19:$B$29,0)),S$26,""),""))</f>
        <v/>
      </c>
    </row>
    <row r="37" spans="1:19" x14ac:dyDescent="0.2">
      <c r="A37" s="766">
        <v>10</v>
      </c>
      <c r="B37" s="766" t="str">
        <f>'Input-EWEMs'!E21</f>
        <v>Install low-flow kitchen faucets/aerators</v>
      </c>
      <c r="C37" s="600" t="str">
        <f t="shared" ca="1" si="0"/>
        <v/>
      </c>
      <c r="D37" s="768" t="str">
        <f>IF('Input-EWEMs'!D21="","",IF(AND(B37&lt;&gt;MeasureList!$D$9,SUM('Input-EWEMs'!P21,'Input-EWEMs'!S21)=0),D$26,""))</f>
        <v/>
      </c>
      <c r="E37" s="768" t="str">
        <f>IF('Input-EWEMs'!D21="","",IF(AND(B37&lt;&gt;MeasureList!$D$9,SUM('Input-EWEMs'!AH21,'Input-EWEMs'!AJ21)=0),E$26,""))</f>
        <v/>
      </c>
      <c r="F37" s="768" t="str">
        <f>IF(OR('Input-EWEMs'!D21="",AND('Input-EWEMs'!K21&gt;0,'Input-EWEMs'!L21&gt;0)),"","Cost of material and/or labor not included in installation cost. ")</f>
        <v/>
      </c>
      <c r="G37" s="768" t="str">
        <f ca="1">IF('Input-EWEMs'!E21="","",IF(COUNTIF(MeasureList!$A$3:$N$24,'Input-EWEMs'!E21)&gt;0,IF(ISNUMBER(MATCH('Input-EWEMs'!E21,INDIRECT("MeasureList!"&amp;ADDRESS(1,MATCH('Input-EWEMs'!D21,MeasureList!A$1:'MeasureList'!N$1,0))):INDIRECT("MeasureList!"&amp;ADDRESS(24,MATCH('Input-EWEMs'!D21,MeasureList!A$1:'MeasureList'!N$1,0))),0)),"","Selected EWEM Type does not match EWEM Category. "),"Nonstandard EWEM type was entered - select best match from provided dropdown list. "))</f>
        <v/>
      </c>
      <c r="H37" s="768" t="str">
        <f>IF('Input-EWEMs'!D21="Water and sewer conservation",IF('Input-EWEMs'!W21=0,"No water savings for EWEM Category: Water and Sewer Conservation. ",""),"")</f>
        <v/>
      </c>
      <c r="I37" s="768" t="str">
        <f>IF('Input-EWEMs'!D21&lt;&gt;"Water and sewer conservation",IF(AND(OR('Input-EWEMs'!W21&gt;0,'Input-EWEMs'!O21&gt;0,'Input-EWEMs'!R21&gt;0),B37&lt;&gt;"Replace washing machines with ENERGY STAR certified", B37&lt;&gt;"Replace dishwashers with ENERGY STAR certified"),I$26,""),"")</f>
        <v/>
      </c>
      <c r="J37" s="768" t="str">
        <f>IF(AND('Input-EWEMs'!E21="Install WaterSense low-flush toilets",'Input-EWEMs'!AH21&gt;0),EWEMQC!J$26,"")</f>
        <v/>
      </c>
      <c r="K37" s="768" t="str">
        <f>IF(AND(OR(B37="Install WaterSense low-flow bath faucets/aerators",B37="Install low-flow kitchen faucets/aerators",B37="Install WaterSense low-flow showerheads",B37="Install low-flow fixtures"),'Input-EWEMs'!AH21=0), K$26,"")</f>
        <v/>
      </c>
      <c r="L37" s="768" t="str">
        <f t="shared" si="1"/>
        <v/>
      </c>
      <c r="M37" s="768" t="str">
        <f>IF(AND(OR(B37="Replace dishwashers with ENERGY STAR certified",B37="Replace washing machines with ENERGY STAR certified"),OR('Input-EWEMs'!AH21=0, 'Input-EWEMs'!AJ21=0)), M$26,"")</f>
        <v/>
      </c>
      <c r="N37" s="768" t="str">
        <f>IF(AND(B37="Upgrade common area lighting",'Input-EWEMs'!N21=0,'Input-Utilities'!$E$10&gt;0),N$26,"")</f>
        <v/>
      </c>
      <c r="O37" s="768" t="str">
        <f>IF(AND(B37="Upgrade in-unit lighting",'Input-EWEMs'!Q21=0,'Input-Utilities'!$D$32="Tenant"),O$26,"")</f>
        <v/>
      </c>
      <c r="P37" s="768" t="str">
        <f>IF(AND(B37="Upgrade common area lighting",'Input-EWEMs'!G21="Apartments"),P$26,"")</f>
        <v/>
      </c>
      <c r="Q37" s="768" t="str">
        <f>IF(AND(B37="Upgrade in-unit lighting",'Input-EWEMs'!G21="Common area"),Q$26,"")</f>
        <v/>
      </c>
      <c r="R37" s="766"/>
      <c r="S37" s="768" t="str">
        <f>IFERROR(IF('Input-EWEMs'!M21/'Input-EWEMs'!H21&lt;INDEX('QC Ranges'!C$19:C$29,MATCH(EWEMQC!B37,'QC Ranges'!$B$19:$B$29,0)),S$26,""),IFERROR(IF('Input-EWEMs'!M21/'Input-EWEMs'!I21&lt;INDEX('QC Ranges'!D$19:D$29,MATCH(EWEMQC!B37,'QC Ranges'!$B$19:$B$29,0)),S$26,""),""))</f>
        <v/>
      </c>
    </row>
    <row r="38" spans="1:19" x14ac:dyDescent="0.2">
      <c r="A38" s="766">
        <v>11</v>
      </c>
      <c r="B38" s="766" t="str">
        <f>'Input-EWEMs'!E22</f>
        <v>Install WaterSense low-flow showerheads</v>
      </c>
      <c r="C38" s="600" t="str">
        <f t="shared" ca="1" si="0"/>
        <v/>
      </c>
      <c r="D38" s="768" t="str">
        <f>IF('Input-EWEMs'!D22="","",IF(AND(B38&lt;&gt;MeasureList!$D$9,SUM('Input-EWEMs'!P22,'Input-EWEMs'!S22)=0),D$26,""))</f>
        <v/>
      </c>
      <c r="E38" s="768" t="str">
        <f>IF('Input-EWEMs'!D22="","",IF(AND(B38&lt;&gt;MeasureList!$D$9,SUM('Input-EWEMs'!AH22,'Input-EWEMs'!AJ22)=0),E$26,""))</f>
        <v/>
      </c>
      <c r="F38" s="768" t="str">
        <f>IF(OR('Input-EWEMs'!D22="",AND('Input-EWEMs'!K22&gt;0,'Input-EWEMs'!L22&gt;0)),"","Cost of material and/or labor not included in installation cost. ")</f>
        <v/>
      </c>
      <c r="G38" s="768" t="str">
        <f ca="1">IF('Input-EWEMs'!E22="","",IF(COUNTIF(MeasureList!$A$3:$N$24,'Input-EWEMs'!E22)&gt;0,IF(ISNUMBER(MATCH('Input-EWEMs'!E22,INDIRECT("MeasureList!"&amp;ADDRESS(1,MATCH('Input-EWEMs'!D22,MeasureList!A$1:'MeasureList'!N$1,0))):INDIRECT("MeasureList!"&amp;ADDRESS(24,MATCH('Input-EWEMs'!D22,MeasureList!A$1:'MeasureList'!N$1,0))),0)),"","Selected EWEM Type does not match EWEM Category. "),"Nonstandard EWEM type was entered - select best match from provided dropdown list. "))</f>
        <v/>
      </c>
      <c r="H38" s="768" t="str">
        <f>IF('Input-EWEMs'!D22="Water and sewer conservation",IF('Input-EWEMs'!W22=0,"No water savings for EWEM Category: Water and Sewer Conservation. ",""),"")</f>
        <v/>
      </c>
      <c r="I38" s="768" t="str">
        <f>IF('Input-EWEMs'!D22&lt;&gt;"Water and sewer conservation",IF(AND(OR('Input-EWEMs'!W22&gt;0,'Input-EWEMs'!O22&gt;0,'Input-EWEMs'!R22&gt;0),B38&lt;&gt;"Replace washing machines with ENERGY STAR certified", B38&lt;&gt;"Replace dishwashers with ENERGY STAR certified"),I$26,""),"")</f>
        <v/>
      </c>
      <c r="J38" s="768" t="str">
        <f>IF(AND('Input-EWEMs'!E22="Install WaterSense low-flush toilets",'Input-EWEMs'!AH22&gt;0),EWEMQC!J$26,"")</f>
        <v/>
      </c>
      <c r="K38" s="768" t="str">
        <f>IF(AND(OR(B38="Install WaterSense low-flow bath faucets/aerators",B38="Install low-flow kitchen faucets/aerators",B38="Install WaterSense low-flow showerheads",B38="Install low-flow fixtures"),'Input-EWEMs'!AH22=0), K$26,"")</f>
        <v/>
      </c>
      <c r="L38" s="768" t="str">
        <f t="shared" si="1"/>
        <v/>
      </c>
      <c r="M38" s="768" t="str">
        <f>IF(AND(OR(B38="Replace dishwashers with ENERGY STAR certified",B38="Replace washing machines with ENERGY STAR certified"),OR('Input-EWEMs'!AH22=0, 'Input-EWEMs'!AJ22=0)), M$26,"")</f>
        <v/>
      </c>
      <c r="N38" s="768" t="str">
        <f>IF(AND(B38="Upgrade common area lighting",'Input-EWEMs'!N22=0,'Input-Utilities'!$E$10&gt;0),N$26,"")</f>
        <v/>
      </c>
      <c r="O38" s="768" t="str">
        <f>IF(AND(B38="Upgrade in-unit lighting",'Input-EWEMs'!Q22=0,'Input-Utilities'!$D$32="Tenant"),O$26,"")</f>
        <v/>
      </c>
      <c r="P38" s="768" t="str">
        <f>IF(AND(B38="Upgrade common area lighting",'Input-EWEMs'!G22="Apartments"),P$26,"")</f>
        <v/>
      </c>
      <c r="Q38" s="768" t="str">
        <f>IF(AND(B38="Upgrade in-unit lighting",'Input-EWEMs'!G22="Common area"),Q$26,"")</f>
        <v/>
      </c>
      <c r="R38" s="766"/>
      <c r="S38" s="768" t="str">
        <f>IFERROR(IF('Input-EWEMs'!M22/'Input-EWEMs'!H22&lt;INDEX('QC Ranges'!C$19:C$29,MATCH(EWEMQC!B38,'QC Ranges'!$B$19:$B$29,0)),S$26,""),IFERROR(IF('Input-EWEMs'!M22/'Input-EWEMs'!I22&lt;INDEX('QC Ranges'!D$19:D$29,MATCH(EWEMQC!B38,'QC Ranges'!$B$19:$B$29,0)),S$26,""),""))</f>
        <v/>
      </c>
    </row>
    <row r="39" spans="1:19" x14ac:dyDescent="0.2">
      <c r="A39" s="766">
        <v>12</v>
      </c>
      <c r="B39" s="766" t="str">
        <f>'Input-EWEMs'!E23</f>
        <v>Install WaterSense low-flush toilets</v>
      </c>
      <c r="C39" s="600" t="str">
        <f t="shared" ca="1" si="0"/>
        <v xml:space="preserve">Ensure proposed toilet flush rate is appropriate for property application to maintain product performance. </v>
      </c>
      <c r="D39" s="768" t="str">
        <f>IF('Input-EWEMs'!D23="","",IF(AND(B39&lt;&gt;MeasureList!$D$9,SUM('Input-EWEMs'!P23,'Input-EWEMs'!S23)=0),D$26,""))</f>
        <v/>
      </c>
      <c r="E39" s="768" t="str">
        <f>IF('Input-EWEMs'!D23="","",IF(AND(B39&lt;&gt;MeasureList!$D$9,SUM('Input-EWEMs'!AH23,'Input-EWEMs'!AJ23)=0),E$26,""))</f>
        <v/>
      </c>
      <c r="F39" s="768" t="str">
        <f>IF(OR('Input-EWEMs'!D23="",AND('Input-EWEMs'!K23&gt;0,'Input-EWEMs'!L23&gt;0)),"","Cost of material and/or labor not included in installation cost. ")</f>
        <v/>
      </c>
      <c r="G39" s="768" t="str">
        <f ca="1">IF('Input-EWEMs'!E23="","",IF(COUNTIF(MeasureList!$A$3:$N$24,'Input-EWEMs'!E23)&gt;0,IF(ISNUMBER(MATCH('Input-EWEMs'!E23,INDIRECT("MeasureList!"&amp;ADDRESS(1,MATCH('Input-EWEMs'!D23,MeasureList!A$1:'MeasureList'!N$1,0))):INDIRECT("MeasureList!"&amp;ADDRESS(24,MATCH('Input-EWEMs'!D23,MeasureList!A$1:'MeasureList'!N$1,0))),0)),"","Selected EWEM Type does not match EWEM Category. "),"Nonstandard EWEM type was entered - select best match from provided dropdown list. "))</f>
        <v/>
      </c>
      <c r="H39" s="768" t="str">
        <f>IF('Input-EWEMs'!D23="Water and sewer conservation",IF('Input-EWEMs'!W23=0,"No water savings for EWEM Category: Water and Sewer Conservation. ",""),"")</f>
        <v/>
      </c>
      <c r="I39" s="768" t="str">
        <f>IF('Input-EWEMs'!D23&lt;&gt;"Water and sewer conservation",IF(AND(OR('Input-EWEMs'!W23&gt;0,'Input-EWEMs'!O23&gt;0,'Input-EWEMs'!R23&gt;0),B39&lt;&gt;"Replace washing machines with ENERGY STAR certified", B39&lt;&gt;"Replace dishwashers with ENERGY STAR certified"),I$26,""),"")</f>
        <v/>
      </c>
      <c r="J39" s="768" t="str">
        <f>IF(AND('Input-EWEMs'!E23="Install WaterSense low-flush toilets",'Input-EWEMs'!AH23&gt;0),EWEMQC!J$26,"")</f>
        <v/>
      </c>
      <c r="K39" s="768" t="str">
        <f>IF(AND(OR(B39="Install WaterSense low-flow bath faucets/aerators",B39="Install low-flow kitchen faucets/aerators",B39="Install WaterSense low-flow showerheads",B39="Install low-flow fixtures"),'Input-EWEMs'!AH23=0), K$26,"")</f>
        <v/>
      </c>
      <c r="L39" s="768" t="str">
        <f t="shared" si="1"/>
        <v xml:space="preserve">Ensure proposed toilet flush rate is appropriate for property application to maintain product performance. </v>
      </c>
      <c r="M39" s="768" t="str">
        <f>IF(AND(OR(B39="Replace dishwashers with ENERGY STAR certified",B39="Replace washing machines with ENERGY STAR certified"),OR('Input-EWEMs'!AH23=0, 'Input-EWEMs'!AJ23=0)), M$26,"")</f>
        <v/>
      </c>
      <c r="N39" s="768" t="str">
        <f>IF(AND(B39="Upgrade common area lighting",'Input-EWEMs'!N23=0,'Input-Utilities'!$E$10&gt;0),N$26,"")</f>
        <v/>
      </c>
      <c r="O39" s="768" t="str">
        <f>IF(AND(B39="Upgrade in-unit lighting",'Input-EWEMs'!Q23=0,'Input-Utilities'!$D$32="Tenant"),O$26,"")</f>
        <v/>
      </c>
      <c r="P39" s="768" t="str">
        <f>IF(AND(B39="Upgrade common area lighting",'Input-EWEMs'!G23="Apartments"),P$26,"")</f>
        <v/>
      </c>
      <c r="Q39" s="768" t="str">
        <f>IF(AND(B39="Upgrade in-unit lighting",'Input-EWEMs'!G23="Common area"),Q$26,"")</f>
        <v/>
      </c>
      <c r="R39" s="766"/>
      <c r="S39" s="768" t="str">
        <f>IFERROR(IF('Input-EWEMs'!M23/'Input-EWEMs'!H23&lt;INDEX('QC Ranges'!C$19:C$29,MATCH(EWEMQC!B39,'QC Ranges'!$B$19:$B$29,0)),S$26,""),IFERROR(IF('Input-EWEMs'!M23/'Input-EWEMs'!I23&lt;INDEX('QC Ranges'!D$19:D$29,MATCH(EWEMQC!B39,'QC Ranges'!$B$19:$B$29,0)),S$26,""),""))</f>
        <v/>
      </c>
    </row>
    <row r="40" spans="1:19" x14ac:dyDescent="0.2">
      <c r="A40" s="766">
        <v>13</v>
      </c>
      <c r="B40" s="766" t="str">
        <f>'Input-EWEMs'!E24</f>
        <v>Add VSD motor controller</v>
      </c>
      <c r="C40" s="600" t="str">
        <f t="shared" ca="1" si="0"/>
        <v/>
      </c>
      <c r="D40" s="768" t="str">
        <f>IF('Input-EWEMs'!D24="","",IF(AND(B40&lt;&gt;MeasureList!$D$9,SUM('Input-EWEMs'!P24,'Input-EWEMs'!S24)=0),D$26,""))</f>
        <v/>
      </c>
      <c r="E40" s="768" t="str">
        <f>IF('Input-EWEMs'!D24="","",IF(AND(B40&lt;&gt;MeasureList!$D$9,SUM('Input-EWEMs'!AH24,'Input-EWEMs'!AJ24)=0),E$26,""))</f>
        <v/>
      </c>
      <c r="F40" s="768" t="str">
        <f>IF(OR('Input-EWEMs'!D24="",AND('Input-EWEMs'!K24&gt;0,'Input-EWEMs'!L24&gt;0)),"","Cost of material and/or labor not included in installation cost. ")</f>
        <v/>
      </c>
      <c r="G40" s="768" t="str">
        <f ca="1">IF('Input-EWEMs'!E24="","",IF(COUNTIF(MeasureList!$A$3:$N$24,'Input-EWEMs'!E24)&gt;0,IF(ISNUMBER(MATCH('Input-EWEMs'!E24,INDIRECT("MeasureList!"&amp;ADDRESS(1,MATCH('Input-EWEMs'!D24,MeasureList!A$1:'MeasureList'!N$1,0))):INDIRECT("MeasureList!"&amp;ADDRESS(24,MATCH('Input-EWEMs'!D24,MeasureList!A$1:'MeasureList'!N$1,0))),0)),"","Selected EWEM Type does not match EWEM Category. "),"Nonstandard EWEM type was entered - select best match from provided dropdown list. "))</f>
        <v/>
      </c>
      <c r="H40" s="768" t="str">
        <f>IF('Input-EWEMs'!D24="Water and sewer conservation",IF('Input-EWEMs'!W24=0,"No water savings for EWEM Category: Water and Sewer Conservation. ",""),"")</f>
        <v/>
      </c>
      <c r="I40" s="768" t="str">
        <f>IF('Input-EWEMs'!D24&lt;&gt;"Water and sewer conservation",IF(AND(OR('Input-EWEMs'!W24&gt;0,'Input-EWEMs'!O24&gt;0,'Input-EWEMs'!R24&gt;0),B40&lt;&gt;"Replace washing machines with ENERGY STAR certified", B40&lt;&gt;"Replace dishwashers with ENERGY STAR certified"),I$26,""),"")</f>
        <v/>
      </c>
      <c r="J40" s="768" t="str">
        <f>IF(AND('Input-EWEMs'!E24="Install WaterSense low-flush toilets",'Input-EWEMs'!AH24&gt;0),EWEMQC!J$26,"")</f>
        <v/>
      </c>
      <c r="K40" s="768" t="str">
        <f>IF(AND(OR(B40="Install WaterSense low-flow bath faucets/aerators",B40="Install low-flow kitchen faucets/aerators",B40="Install WaterSense low-flow showerheads",B40="Install low-flow fixtures"),'Input-EWEMs'!AH24=0), K$26,"")</f>
        <v/>
      </c>
      <c r="L40" s="768" t="str">
        <f t="shared" si="1"/>
        <v/>
      </c>
      <c r="M40" s="768" t="str">
        <f>IF(AND(OR(B40="Replace dishwashers with ENERGY STAR certified",B40="Replace washing machines with ENERGY STAR certified"),OR('Input-EWEMs'!AH24=0, 'Input-EWEMs'!AJ24=0)), M$26,"")</f>
        <v/>
      </c>
      <c r="N40" s="768" t="str">
        <f>IF(AND(B40="Upgrade common area lighting",'Input-EWEMs'!N24=0,'Input-Utilities'!$E$10&gt;0),N$26,"")</f>
        <v/>
      </c>
      <c r="O40" s="768" t="str">
        <f>IF(AND(B40="Upgrade in-unit lighting",'Input-EWEMs'!Q24=0,'Input-Utilities'!$D$32="Tenant"),O$26,"")</f>
        <v/>
      </c>
      <c r="P40" s="768" t="str">
        <f>IF(AND(B40="Upgrade common area lighting",'Input-EWEMs'!G24="Apartments"),P$26,"")</f>
        <v/>
      </c>
      <c r="Q40" s="768" t="str">
        <f>IF(AND(B40="Upgrade in-unit lighting",'Input-EWEMs'!G24="Common area"),Q$26,"")</f>
        <v/>
      </c>
      <c r="R40" s="766"/>
      <c r="S40" s="768" t="str">
        <f>IFERROR(IF('Input-EWEMs'!M24/'Input-EWEMs'!H24&lt;INDEX('QC Ranges'!C$19:C$29,MATCH(EWEMQC!B40,'QC Ranges'!$B$19:$B$29,0)),S$26,""),IFERROR(IF('Input-EWEMs'!M24/'Input-EWEMs'!I24&lt;INDEX('QC Ranges'!D$19:D$29,MATCH(EWEMQC!B40,'QC Ranges'!$B$19:$B$29,0)),S$26,""),""))</f>
        <v/>
      </c>
    </row>
    <row r="41" spans="1:19" x14ac:dyDescent="0.2">
      <c r="A41" s="766">
        <v>14</v>
      </c>
      <c r="B41" s="766" t="str">
        <f>'Input-EWEMs'!E25</f>
        <v>Install photovoltaic system</v>
      </c>
      <c r="C41" s="600" t="str">
        <f t="shared" ca="1" si="0"/>
        <v/>
      </c>
      <c r="D41" s="768" t="str">
        <f>IF('Input-EWEMs'!D25="","",IF(AND(B41&lt;&gt;MeasureList!$D$9,SUM('Input-EWEMs'!P25,'Input-EWEMs'!S25)=0),D$26,""))</f>
        <v/>
      </c>
      <c r="E41" s="768" t="str">
        <f>IF('Input-EWEMs'!D25="","",IF(AND(B41&lt;&gt;MeasureList!$D$9,SUM('Input-EWEMs'!AH25,'Input-EWEMs'!AJ25)=0),E$26,""))</f>
        <v/>
      </c>
      <c r="F41" s="768" t="str">
        <f>IF(OR('Input-EWEMs'!D25="",AND('Input-EWEMs'!K25&gt;0,'Input-EWEMs'!L25&gt;0)),"","Cost of material and/or labor not included in installation cost. ")</f>
        <v/>
      </c>
      <c r="G41" s="768" t="str">
        <f ca="1">IF('Input-EWEMs'!E25="","",IF(COUNTIF(MeasureList!$A$3:$N$24,'Input-EWEMs'!E25)&gt;0,IF(ISNUMBER(MATCH('Input-EWEMs'!E25,INDIRECT("MeasureList!"&amp;ADDRESS(1,MATCH('Input-EWEMs'!D25,MeasureList!A$1:'MeasureList'!N$1,0))):INDIRECT("MeasureList!"&amp;ADDRESS(24,MATCH('Input-EWEMs'!D25,MeasureList!A$1:'MeasureList'!N$1,0))),0)),"","Selected EWEM Type does not match EWEM Category. "),"Nonstandard EWEM type was entered - select best match from provided dropdown list. "))</f>
        <v/>
      </c>
      <c r="H41" s="768" t="str">
        <f>IF('Input-EWEMs'!D25="Water and sewer conservation",IF('Input-EWEMs'!W25=0,"No water savings for EWEM Category: Water and Sewer Conservation. ",""),"")</f>
        <v/>
      </c>
      <c r="I41" s="768" t="str">
        <f>IF('Input-EWEMs'!D25&lt;&gt;"Water and sewer conservation",IF(AND(OR('Input-EWEMs'!W25&gt;0,'Input-EWEMs'!O25&gt;0,'Input-EWEMs'!R25&gt;0),B41&lt;&gt;"Replace washing machines with ENERGY STAR certified", B41&lt;&gt;"Replace dishwashers with ENERGY STAR certified"),I$26,""),"")</f>
        <v/>
      </c>
      <c r="J41" s="768" t="str">
        <f>IF(AND('Input-EWEMs'!E25="Install WaterSense low-flush toilets",'Input-EWEMs'!AH25&gt;0),EWEMQC!J$26,"")</f>
        <v/>
      </c>
      <c r="K41" s="768" t="str">
        <f>IF(AND(OR(B41="Install WaterSense low-flow bath faucets/aerators",B41="Install low-flow kitchen faucets/aerators",B41="Install WaterSense low-flow showerheads",B41="Install low-flow fixtures"),'Input-EWEMs'!AH25=0), K$26,"")</f>
        <v/>
      </c>
      <c r="L41" s="768" t="str">
        <f t="shared" si="1"/>
        <v/>
      </c>
      <c r="M41" s="768" t="str">
        <f>IF(AND(OR(B41="Replace dishwashers with ENERGY STAR certified",B41="Replace washing machines with ENERGY STAR certified"),OR('Input-EWEMs'!AH25=0, 'Input-EWEMs'!AJ25=0)), M$26,"")</f>
        <v/>
      </c>
      <c r="N41" s="768" t="str">
        <f>IF(AND(B41="Upgrade common area lighting",'Input-EWEMs'!N25=0,'Input-Utilities'!$E$10&gt;0),N$26,"")</f>
        <v/>
      </c>
      <c r="O41" s="768" t="str">
        <f>IF(AND(B41="Upgrade in-unit lighting",'Input-EWEMs'!Q25=0,'Input-Utilities'!$D$32="Tenant"),O$26,"")</f>
        <v/>
      </c>
      <c r="P41" s="768" t="str">
        <f>IF(AND(B41="Upgrade common area lighting",'Input-EWEMs'!G25="Apartments"),P$26,"")</f>
        <v/>
      </c>
      <c r="Q41" s="768" t="str">
        <f>IF(AND(B41="Upgrade in-unit lighting",'Input-EWEMs'!G25="Common area"),Q$26,"")</f>
        <v/>
      </c>
      <c r="R41" s="766"/>
      <c r="S41" s="768" t="str">
        <f>IFERROR(IF('Input-EWEMs'!M25/'Input-EWEMs'!H25&lt;INDEX('QC Ranges'!C$19:C$29,MATCH(EWEMQC!B41,'QC Ranges'!$B$19:$B$29,0)),S$26,""),IFERROR(IF('Input-EWEMs'!M25/'Input-EWEMs'!I25&lt;INDEX('QC Ranges'!D$19:D$29,MATCH(EWEMQC!B41,'QC Ranges'!$B$19:$B$29,0)),S$26,""),""))</f>
        <v/>
      </c>
    </row>
    <row r="42" spans="1:19" x14ac:dyDescent="0.2">
      <c r="A42" s="766">
        <v>15</v>
      </c>
      <c r="B42" s="766" t="str">
        <f>'Input-EWEMs'!E26</f>
        <v>Repair or replace roof for solar PV installation</v>
      </c>
      <c r="C42" s="600" t="str">
        <f t="shared" ca="1" si="0"/>
        <v/>
      </c>
      <c r="D42" s="768" t="str">
        <f>IF('Input-EWEMs'!D26="","",IF(AND(B42&lt;&gt;MeasureList!$D$9,SUM('Input-EWEMs'!P26,'Input-EWEMs'!S26)=0),D$26,""))</f>
        <v/>
      </c>
      <c r="E42" s="768" t="str">
        <f>IF('Input-EWEMs'!D26="","",IF(AND(B42&lt;&gt;MeasureList!$D$9,SUM('Input-EWEMs'!AH26,'Input-EWEMs'!AJ26)=0),E$26,""))</f>
        <v/>
      </c>
      <c r="F42" s="768" t="str">
        <f>IF(OR('Input-EWEMs'!D26="",AND('Input-EWEMs'!K26&gt;0,'Input-EWEMs'!L26&gt;0)),"","Cost of material and/or labor not included in installation cost. ")</f>
        <v/>
      </c>
      <c r="G42" s="768" t="str">
        <f ca="1">IF('Input-EWEMs'!E26="","",IF(COUNTIF(MeasureList!$A$3:$N$24,'Input-EWEMs'!E26)&gt;0,IF(ISNUMBER(MATCH('Input-EWEMs'!E26,INDIRECT("MeasureList!"&amp;ADDRESS(1,MATCH('Input-EWEMs'!D26,MeasureList!A$1:'MeasureList'!N$1,0))):INDIRECT("MeasureList!"&amp;ADDRESS(24,MATCH('Input-EWEMs'!D26,MeasureList!A$1:'MeasureList'!N$1,0))),0)),"","Selected EWEM Type does not match EWEM Category. "),"Nonstandard EWEM type was entered - select best match from provided dropdown list. "))</f>
        <v/>
      </c>
      <c r="H42" s="768" t="str">
        <f>IF('Input-EWEMs'!D26="Water and sewer conservation",IF('Input-EWEMs'!W26=0,"No water savings for EWEM Category: Water and Sewer Conservation. ",""),"")</f>
        <v/>
      </c>
      <c r="I42" s="768" t="str">
        <f>IF('Input-EWEMs'!D26&lt;&gt;"Water and sewer conservation",IF(AND(OR('Input-EWEMs'!W26&gt;0,'Input-EWEMs'!O26&gt;0,'Input-EWEMs'!R26&gt;0),B42&lt;&gt;"Replace washing machines with ENERGY STAR certified", B42&lt;&gt;"Replace dishwashers with ENERGY STAR certified"),I$26,""),"")</f>
        <v/>
      </c>
      <c r="J42" s="768" t="str">
        <f>IF(AND('Input-EWEMs'!E26="Install WaterSense low-flush toilets",'Input-EWEMs'!AH26&gt;0),EWEMQC!J$26,"")</f>
        <v/>
      </c>
      <c r="K42" s="768" t="str">
        <f>IF(AND(OR(B42="Install WaterSense low-flow bath faucets/aerators",B42="Install low-flow kitchen faucets/aerators",B42="Install WaterSense low-flow showerheads",B42="Install low-flow fixtures"),'Input-EWEMs'!AH26=0), K$26,"")</f>
        <v/>
      </c>
      <c r="L42" s="768" t="str">
        <f t="shared" si="1"/>
        <v/>
      </c>
      <c r="M42" s="768" t="str">
        <f>IF(AND(OR(B42="Replace dishwashers with ENERGY STAR certified",B42="Replace washing machines with ENERGY STAR certified"),OR('Input-EWEMs'!AH26=0, 'Input-EWEMs'!AJ26=0)), M$26,"")</f>
        <v/>
      </c>
      <c r="N42" s="768" t="str">
        <f>IF(AND(B42="Upgrade common area lighting",'Input-EWEMs'!N26=0,'Input-Utilities'!$E$10&gt;0),N$26,"")</f>
        <v/>
      </c>
      <c r="O42" s="768" t="str">
        <f>IF(AND(B42="Upgrade in-unit lighting",'Input-EWEMs'!Q26=0,'Input-Utilities'!$D$32="Tenant"),O$26,"")</f>
        <v/>
      </c>
      <c r="P42" s="768" t="str">
        <f>IF(AND(B42="Upgrade common area lighting",'Input-EWEMs'!G26="Apartments"),P$26,"")</f>
        <v/>
      </c>
      <c r="Q42" s="768" t="str">
        <f>IF(AND(B42="Upgrade in-unit lighting",'Input-EWEMs'!G26="Common area"),Q$26,"")</f>
        <v/>
      </c>
      <c r="R42" s="766"/>
      <c r="S42" s="768" t="str">
        <f>IFERROR(IF('Input-EWEMs'!M26/'Input-EWEMs'!H26&lt;INDEX('QC Ranges'!C$19:C$29,MATCH(EWEMQC!B42,'QC Ranges'!$B$19:$B$29,0)),S$26,""),IFERROR(IF('Input-EWEMs'!M26/'Input-EWEMs'!I26&lt;INDEX('QC Ranges'!D$19:D$29,MATCH(EWEMQC!B42,'QC Ranges'!$B$19:$B$29,0)),S$26,""),""))</f>
        <v/>
      </c>
    </row>
    <row r="43" spans="1:19" x14ac:dyDescent="0.2">
      <c r="A43" s="766">
        <v>16</v>
      </c>
      <c r="B43" s="766">
        <f>'Input-EWEMs'!E27</f>
        <v>0</v>
      </c>
      <c r="C43" s="600" t="str">
        <f t="shared" ca="1" si="0"/>
        <v/>
      </c>
      <c r="D43" s="768" t="str">
        <f>IF('Input-EWEMs'!D27="","",IF(AND(B43&lt;&gt;MeasureList!$D$9,SUM('Input-EWEMs'!P27,'Input-EWEMs'!S27)=0),D$26,""))</f>
        <v/>
      </c>
      <c r="E43" s="768" t="str">
        <f>IF('Input-EWEMs'!D27="","",IF(AND(B43&lt;&gt;MeasureList!$D$9,SUM('Input-EWEMs'!AH27,'Input-EWEMs'!AJ27)=0),E$26,""))</f>
        <v/>
      </c>
      <c r="F43" s="768" t="str">
        <f>IF(OR('Input-EWEMs'!D27="",AND('Input-EWEMs'!K27&gt;0,'Input-EWEMs'!L27&gt;0)),"","Cost of material and/or labor not included in installation cost. ")</f>
        <v/>
      </c>
      <c r="G43" s="768" t="str">
        <f ca="1">IF('Input-EWEMs'!E27="","",IF(COUNTIF(MeasureList!$A$3:$N$24,'Input-EWEMs'!E27)&gt;0,IF(ISNUMBER(MATCH('Input-EWEMs'!E27,INDIRECT("MeasureList!"&amp;ADDRESS(1,MATCH('Input-EWEMs'!D27,MeasureList!A$1:'MeasureList'!N$1,0))):INDIRECT("MeasureList!"&amp;ADDRESS(24,MATCH('Input-EWEMs'!D27,MeasureList!A$1:'MeasureList'!N$1,0))),0)),"","Selected EWEM Type does not match EWEM Category. "),"Nonstandard EWEM type was entered - select best match from provided dropdown list. "))</f>
        <v/>
      </c>
      <c r="H43" s="768" t="str">
        <f>IF('Input-EWEMs'!D27="Water and sewer conservation",IF('Input-EWEMs'!W27=0,"No water savings for EWEM Category: Water and Sewer Conservation. ",""),"")</f>
        <v/>
      </c>
      <c r="I43" s="768" t="str">
        <f>IF('Input-EWEMs'!D27&lt;&gt;"Water and sewer conservation",IF(AND(OR('Input-EWEMs'!W27&gt;0,'Input-EWEMs'!O27&gt;0,'Input-EWEMs'!R27&gt;0),B43&lt;&gt;"Replace washing machines with ENERGY STAR certified", B43&lt;&gt;"Replace dishwashers with ENERGY STAR certified"),I$26,""),"")</f>
        <v/>
      </c>
      <c r="J43" s="768" t="str">
        <f>IF(AND('Input-EWEMs'!E27="Install WaterSense low-flush toilets",'Input-EWEMs'!AH27&gt;0),EWEMQC!J$26,"")</f>
        <v/>
      </c>
      <c r="K43" s="768" t="str">
        <f>IF(AND(OR(B43="Install WaterSense low-flow bath faucets/aerators",B43="Install low-flow kitchen faucets/aerators",B43="Install WaterSense low-flow showerheads",B43="Install low-flow fixtures"),'Input-EWEMs'!AH27=0), K$26,"")</f>
        <v/>
      </c>
      <c r="L43" s="768" t="str">
        <f t="shared" si="1"/>
        <v/>
      </c>
      <c r="M43" s="768" t="str">
        <f>IF(AND(OR(B43="Replace dishwashers with ENERGY STAR certified",B43="Replace washing machines with ENERGY STAR certified"),OR('Input-EWEMs'!AH27=0, 'Input-EWEMs'!AJ27=0)), M$26,"")</f>
        <v/>
      </c>
      <c r="N43" s="768" t="str">
        <f>IF(AND(B43="Upgrade common area lighting",'Input-EWEMs'!N27=0,'Input-Utilities'!$E$10&gt;0),N$26,"")</f>
        <v/>
      </c>
      <c r="O43" s="768" t="str">
        <f>IF(AND(B43="Upgrade in-unit lighting",'Input-EWEMs'!Q27=0,'Input-Utilities'!$D$32="Tenant"),O$26,"")</f>
        <v/>
      </c>
      <c r="P43" s="768" t="str">
        <f>IF(AND(B43="Upgrade common area lighting",'Input-EWEMs'!G27="Apartments"),P$26,"")</f>
        <v/>
      </c>
      <c r="Q43" s="768" t="str">
        <f>IF(AND(B43="Upgrade in-unit lighting",'Input-EWEMs'!G27="Common area"),Q$26,"")</f>
        <v/>
      </c>
      <c r="R43" s="766"/>
      <c r="S43" s="768" t="str">
        <f>IFERROR(IF('Input-EWEMs'!M27/'Input-EWEMs'!H27&lt;INDEX('QC Ranges'!C$19:C$29,MATCH(EWEMQC!B43,'QC Ranges'!$B$19:$B$29,0)),S$26,""),IFERROR(IF('Input-EWEMs'!M27/'Input-EWEMs'!I27&lt;INDEX('QC Ranges'!D$19:D$29,MATCH(EWEMQC!B43,'QC Ranges'!$B$19:$B$29,0)),S$26,""),""))</f>
        <v/>
      </c>
    </row>
    <row r="44" spans="1:19" x14ac:dyDescent="0.2">
      <c r="A44" s="766">
        <v>17</v>
      </c>
      <c r="B44" s="766">
        <f>'Input-EWEMs'!E28</f>
        <v>0</v>
      </c>
      <c r="C44" s="600" t="str">
        <f t="shared" ca="1" si="0"/>
        <v/>
      </c>
      <c r="D44" s="768" t="str">
        <f>IF('Input-EWEMs'!D28="","",IF(AND(B44&lt;&gt;MeasureList!$D$9,SUM('Input-EWEMs'!P28,'Input-EWEMs'!S28)=0),D$26,""))</f>
        <v/>
      </c>
      <c r="E44" s="768" t="str">
        <f>IF('Input-EWEMs'!D28="","",IF(AND(B44&lt;&gt;MeasureList!$D$9,SUM('Input-EWEMs'!AH28,'Input-EWEMs'!AJ28)=0),E$26,""))</f>
        <v/>
      </c>
      <c r="F44" s="768" t="str">
        <f>IF(OR('Input-EWEMs'!D28="",AND('Input-EWEMs'!K28&gt;0,'Input-EWEMs'!L28&gt;0)),"","Cost of material and/or labor not included in installation cost. ")</f>
        <v/>
      </c>
      <c r="G44" s="768" t="str">
        <f ca="1">IF('Input-EWEMs'!E28="","",IF(COUNTIF(MeasureList!$A$3:$N$24,'Input-EWEMs'!E28)&gt;0,IF(ISNUMBER(MATCH('Input-EWEMs'!E28,INDIRECT("MeasureList!"&amp;ADDRESS(1,MATCH('Input-EWEMs'!D28,MeasureList!A$1:'MeasureList'!N$1,0))):INDIRECT("MeasureList!"&amp;ADDRESS(24,MATCH('Input-EWEMs'!D28,MeasureList!A$1:'MeasureList'!N$1,0))),0)),"","Selected EWEM Type does not match EWEM Category. "),"Nonstandard EWEM type was entered - select best match from provided dropdown list. "))</f>
        <v/>
      </c>
      <c r="H44" s="768" t="str">
        <f>IF('Input-EWEMs'!D28="Water and sewer conservation",IF('Input-EWEMs'!W28=0,"No water savings for EWEM Category: Water and Sewer Conservation. ",""),"")</f>
        <v/>
      </c>
      <c r="I44" s="768" t="str">
        <f>IF('Input-EWEMs'!D28&lt;&gt;"Water and sewer conservation",IF(AND(OR('Input-EWEMs'!W28&gt;0,'Input-EWEMs'!O28&gt;0,'Input-EWEMs'!R28&gt;0),B44&lt;&gt;"Replace washing machines with ENERGY STAR certified", B44&lt;&gt;"Replace dishwashers with ENERGY STAR certified"),I$26,""),"")</f>
        <v/>
      </c>
      <c r="J44" s="768" t="str">
        <f>IF(AND('Input-EWEMs'!E28="Install WaterSense low-flush toilets",'Input-EWEMs'!AH28&gt;0),EWEMQC!J$26,"")</f>
        <v/>
      </c>
      <c r="K44" s="768" t="str">
        <f>IF(AND(OR(B44="Install WaterSense low-flow bath faucets/aerators",B44="Install low-flow kitchen faucets/aerators",B44="Install WaterSense low-flow showerheads",B44="Install low-flow fixtures"),'Input-EWEMs'!AH28=0), K$26,"")</f>
        <v/>
      </c>
      <c r="L44" s="768" t="str">
        <f t="shared" si="1"/>
        <v/>
      </c>
      <c r="M44" s="768" t="str">
        <f>IF(AND(OR(B44="Replace dishwashers with ENERGY STAR certified",B44="Replace washing machines with ENERGY STAR certified"),OR('Input-EWEMs'!AH28=0, 'Input-EWEMs'!AJ28=0)), M$26,"")</f>
        <v/>
      </c>
      <c r="N44" s="768" t="str">
        <f>IF(AND(B44="Upgrade common area lighting",'Input-EWEMs'!N28=0,'Input-Utilities'!$E$10&gt;0),N$26,"")</f>
        <v/>
      </c>
      <c r="O44" s="768" t="str">
        <f>IF(AND(B44="Upgrade in-unit lighting",'Input-EWEMs'!Q28=0,'Input-Utilities'!$D$32="Tenant"),O$26,"")</f>
        <v/>
      </c>
      <c r="P44" s="768" t="str">
        <f>IF(AND(B44="Upgrade common area lighting",'Input-EWEMs'!G28="Apartments"),P$26,"")</f>
        <v/>
      </c>
      <c r="Q44" s="768" t="str">
        <f>IF(AND(B44="Upgrade in-unit lighting",'Input-EWEMs'!G28="Common area"),Q$26,"")</f>
        <v/>
      </c>
      <c r="R44" s="766"/>
      <c r="S44" s="768" t="str">
        <f>IFERROR(IF('Input-EWEMs'!M28/'Input-EWEMs'!H28&lt;INDEX('QC Ranges'!C$19:C$29,MATCH(EWEMQC!B44,'QC Ranges'!$B$19:$B$29,0)),S$26,""),IFERROR(IF('Input-EWEMs'!M28/'Input-EWEMs'!I28&lt;INDEX('QC Ranges'!D$19:D$29,MATCH(EWEMQC!B44,'QC Ranges'!$B$19:$B$29,0)),S$26,""),""))</f>
        <v/>
      </c>
    </row>
    <row r="45" spans="1:19" x14ac:dyDescent="0.2">
      <c r="A45" s="766">
        <v>18</v>
      </c>
      <c r="B45" s="766">
        <f>'Input-EWEMs'!E29</f>
        <v>0</v>
      </c>
      <c r="C45" s="600" t="str">
        <f t="shared" ca="1" si="0"/>
        <v/>
      </c>
      <c r="D45" s="768" t="str">
        <f>IF('Input-EWEMs'!D29="","",IF(AND(B45&lt;&gt;MeasureList!$D$9,SUM('Input-EWEMs'!P29,'Input-EWEMs'!S29)=0),D$26,""))</f>
        <v/>
      </c>
      <c r="E45" s="768" t="str">
        <f>IF('Input-EWEMs'!D29="","",IF(AND(B45&lt;&gt;MeasureList!$D$9,SUM('Input-EWEMs'!AH29,'Input-EWEMs'!AJ29)=0),E$26,""))</f>
        <v/>
      </c>
      <c r="F45" s="768" t="str">
        <f>IF(OR('Input-EWEMs'!D29="",AND('Input-EWEMs'!K29&gt;0,'Input-EWEMs'!L29&gt;0)),"","Cost of material and/or labor not included in installation cost. ")</f>
        <v/>
      </c>
      <c r="G45" s="768" t="str">
        <f ca="1">IF('Input-EWEMs'!E29="","",IF(COUNTIF(MeasureList!$A$3:$N$24,'Input-EWEMs'!E29)&gt;0,IF(ISNUMBER(MATCH('Input-EWEMs'!E29,INDIRECT("MeasureList!"&amp;ADDRESS(1,MATCH('Input-EWEMs'!D29,MeasureList!A$1:'MeasureList'!N$1,0))):INDIRECT("MeasureList!"&amp;ADDRESS(24,MATCH('Input-EWEMs'!D29,MeasureList!A$1:'MeasureList'!N$1,0))),0)),"","Selected EWEM Type does not match EWEM Category. "),"Nonstandard EWEM type was entered - select best match from provided dropdown list. "))</f>
        <v/>
      </c>
      <c r="H45" s="768" t="str">
        <f>IF('Input-EWEMs'!D29="Water and sewer conservation",IF('Input-EWEMs'!W29=0,"No water savings for EWEM Category: Water and Sewer Conservation. ",""),"")</f>
        <v/>
      </c>
      <c r="I45" s="768" t="str">
        <f>IF('Input-EWEMs'!D29&lt;&gt;"Water and sewer conservation",IF(AND(OR('Input-EWEMs'!W29&gt;0,'Input-EWEMs'!O29&gt;0,'Input-EWEMs'!R29&gt;0),B45&lt;&gt;"Replace washing machines with ENERGY STAR certified", B45&lt;&gt;"Replace dishwashers with ENERGY STAR certified"),I$26,""),"")</f>
        <v/>
      </c>
      <c r="J45" s="768" t="str">
        <f>IF(AND('Input-EWEMs'!E29="Install WaterSense low-flush toilets",'Input-EWEMs'!AH29&gt;0),EWEMQC!J$26,"")</f>
        <v/>
      </c>
      <c r="K45" s="768" t="str">
        <f>IF(AND(OR(B45="Install WaterSense low-flow bath faucets/aerators",B45="Install low-flow kitchen faucets/aerators",B45="Install WaterSense low-flow showerheads",B45="Install low-flow fixtures"),'Input-EWEMs'!AH29=0), K$26,"")</f>
        <v/>
      </c>
      <c r="L45" s="768" t="str">
        <f t="shared" si="1"/>
        <v/>
      </c>
      <c r="M45" s="768" t="str">
        <f>IF(AND(OR(B45="Replace dishwashers with ENERGY STAR certified",B45="Replace washing machines with ENERGY STAR certified"),OR('Input-EWEMs'!AH29=0, 'Input-EWEMs'!AJ29=0)), M$26,"")</f>
        <v/>
      </c>
      <c r="N45" s="768" t="str">
        <f>IF(AND(B45="Upgrade common area lighting",'Input-EWEMs'!N29=0,'Input-Utilities'!$E$10&gt;0),N$26,"")</f>
        <v/>
      </c>
      <c r="O45" s="768" t="str">
        <f>IF(AND(B45="Upgrade in-unit lighting",'Input-EWEMs'!Q29=0,'Input-Utilities'!$D$32="Tenant"),O$26,"")</f>
        <v/>
      </c>
      <c r="P45" s="768" t="str">
        <f>IF(AND(B45="Upgrade common area lighting",'Input-EWEMs'!G29="Apartments"),P$26,"")</f>
        <v/>
      </c>
      <c r="Q45" s="768" t="str">
        <f>IF(AND(B45="Upgrade in-unit lighting",'Input-EWEMs'!G29="Common area"),Q$26,"")</f>
        <v/>
      </c>
      <c r="R45" s="766"/>
      <c r="S45" s="768" t="str">
        <f>IFERROR(IF('Input-EWEMs'!M29/'Input-EWEMs'!H29&lt;INDEX('QC Ranges'!C$19:C$29,MATCH(EWEMQC!B45,'QC Ranges'!$B$19:$B$29,0)),S$26,""),IFERROR(IF('Input-EWEMs'!M29/'Input-EWEMs'!I29&lt;INDEX('QC Ranges'!D$19:D$29,MATCH(EWEMQC!B45,'QC Ranges'!$B$19:$B$29,0)),S$26,""),""))</f>
        <v/>
      </c>
    </row>
    <row r="46" spans="1:19" x14ac:dyDescent="0.2">
      <c r="A46" s="766">
        <v>19</v>
      </c>
      <c r="B46" s="766">
        <f>'Input-EWEMs'!E30</f>
        <v>0</v>
      </c>
      <c r="C46" s="600" t="str">
        <f t="shared" ca="1" si="0"/>
        <v/>
      </c>
      <c r="D46" s="768" t="str">
        <f>IF('Input-EWEMs'!D30="","",IF(AND(B46&lt;&gt;MeasureList!$D$9,SUM('Input-EWEMs'!P30,'Input-EWEMs'!S30)=0),D$26,""))</f>
        <v/>
      </c>
      <c r="E46" s="768" t="str">
        <f>IF('Input-EWEMs'!D30="","",IF(AND(B46&lt;&gt;MeasureList!$D$9,SUM('Input-EWEMs'!AH30,'Input-EWEMs'!AJ30)=0),E$26,""))</f>
        <v/>
      </c>
      <c r="F46" s="768" t="str">
        <f>IF(OR('Input-EWEMs'!D30="",AND('Input-EWEMs'!K30&gt;0,'Input-EWEMs'!L30&gt;0)),"","Cost of material and/or labor not included in installation cost. ")</f>
        <v/>
      </c>
      <c r="G46" s="768" t="str">
        <f ca="1">IF('Input-EWEMs'!E30="","",IF(COUNTIF(MeasureList!$A$3:$N$24,'Input-EWEMs'!E30)&gt;0,IF(ISNUMBER(MATCH('Input-EWEMs'!E30,INDIRECT("MeasureList!"&amp;ADDRESS(1,MATCH('Input-EWEMs'!D30,MeasureList!A$1:'MeasureList'!N$1,0))):INDIRECT("MeasureList!"&amp;ADDRESS(24,MATCH('Input-EWEMs'!D30,MeasureList!A$1:'MeasureList'!N$1,0))),0)),"","Selected EWEM Type does not match EWEM Category. "),"Nonstandard EWEM type was entered - select best match from provided dropdown list. "))</f>
        <v/>
      </c>
      <c r="H46" s="768" t="str">
        <f>IF('Input-EWEMs'!D30="Water and sewer conservation",IF('Input-EWEMs'!W30=0,"No water savings for EWEM Category: Water and Sewer Conservation. ",""),"")</f>
        <v/>
      </c>
      <c r="I46" s="768" t="str">
        <f>IF('Input-EWEMs'!D30&lt;&gt;"Water and sewer conservation",IF(AND(OR('Input-EWEMs'!W30&gt;0,'Input-EWEMs'!O30&gt;0,'Input-EWEMs'!R30&gt;0),B46&lt;&gt;"Replace washing machines with ENERGY STAR certified", B46&lt;&gt;"Replace dishwashers with ENERGY STAR certified"),I$26,""),"")</f>
        <v/>
      </c>
      <c r="J46" s="768" t="str">
        <f>IF(AND('Input-EWEMs'!E30="Install WaterSense low-flush toilets",'Input-EWEMs'!AH30&gt;0),EWEMQC!J$26,"")</f>
        <v/>
      </c>
      <c r="K46" s="768" t="str">
        <f>IF(AND(OR(B46="Install WaterSense low-flow bath faucets/aerators",B46="Install low-flow kitchen faucets/aerators",B46="Install WaterSense low-flow showerheads",B46="Install low-flow fixtures"),'Input-EWEMs'!AH30=0), K$26,"")</f>
        <v/>
      </c>
      <c r="L46" s="768" t="str">
        <f t="shared" si="1"/>
        <v/>
      </c>
      <c r="M46" s="768" t="str">
        <f>IF(AND(OR(B46="Replace dishwashers with ENERGY STAR certified",B46="Replace washing machines with ENERGY STAR certified"),OR('Input-EWEMs'!AH30=0, 'Input-EWEMs'!AJ30=0)), M$26,"")</f>
        <v/>
      </c>
      <c r="N46" s="768" t="str">
        <f>IF(AND(B46="Upgrade common area lighting",'Input-EWEMs'!N30=0,'Input-Utilities'!$E$10&gt;0),N$26,"")</f>
        <v/>
      </c>
      <c r="O46" s="768" t="str">
        <f>IF(AND(B46="Upgrade in-unit lighting",'Input-EWEMs'!Q30=0,'Input-Utilities'!$D$32="Tenant"),O$26,"")</f>
        <v/>
      </c>
      <c r="P46" s="768" t="str">
        <f>IF(AND(B46="Upgrade common area lighting",'Input-EWEMs'!G30="Apartments"),P$26,"")</f>
        <v/>
      </c>
      <c r="Q46" s="768" t="str">
        <f>IF(AND(B46="Upgrade in-unit lighting",'Input-EWEMs'!G30="Common area"),Q$26,"")</f>
        <v/>
      </c>
      <c r="R46" s="766"/>
      <c r="S46" s="768" t="str">
        <f>IFERROR(IF('Input-EWEMs'!M30/'Input-EWEMs'!H30&lt;INDEX('QC Ranges'!C$19:C$29,MATCH(EWEMQC!B46,'QC Ranges'!$B$19:$B$29,0)),S$26,""),IFERROR(IF('Input-EWEMs'!M30/'Input-EWEMs'!I30&lt;INDEX('QC Ranges'!D$19:D$29,MATCH(EWEMQC!B46,'QC Ranges'!$B$19:$B$29,0)),S$26,""),""))</f>
        <v/>
      </c>
    </row>
    <row r="47" spans="1:19" x14ac:dyDescent="0.2">
      <c r="A47" s="766">
        <v>20</v>
      </c>
      <c r="B47" s="766">
        <f>'Input-EWEMs'!E31</f>
        <v>0</v>
      </c>
      <c r="C47" s="600" t="str">
        <f t="shared" ca="1" si="0"/>
        <v/>
      </c>
      <c r="D47" s="768" t="str">
        <f>IF('Input-EWEMs'!D31="","",IF(AND(B47&lt;&gt;MeasureList!$D$9,SUM('Input-EWEMs'!P31,'Input-EWEMs'!S31)=0),D$26,""))</f>
        <v/>
      </c>
      <c r="E47" s="768" t="str">
        <f>IF('Input-EWEMs'!D31="","",IF(AND(B47&lt;&gt;MeasureList!$D$9,SUM('Input-EWEMs'!AH31,'Input-EWEMs'!AJ31)=0),E$26,""))</f>
        <v/>
      </c>
      <c r="F47" s="768" t="str">
        <f>IF(OR('Input-EWEMs'!D31="",AND('Input-EWEMs'!K31&gt;0,'Input-EWEMs'!L31&gt;0)),"","Cost of material and/or labor not included in installation cost. ")</f>
        <v/>
      </c>
      <c r="G47" s="768" t="str">
        <f ca="1">IF('Input-EWEMs'!E31="","",IF(COUNTIF(MeasureList!$A$3:$N$24,'Input-EWEMs'!E31)&gt;0,IF(ISNUMBER(MATCH('Input-EWEMs'!E31,INDIRECT("MeasureList!"&amp;ADDRESS(1,MATCH('Input-EWEMs'!D31,MeasureList!A$1:'MeasureList'!N$1,0))):INDIRECT("MeasureList!"&amp;ADDRESS(24,MATCH('Input-EWEMs'!D31,MeasureList!A$1:'MeasureList'!N$1,0))),0)),"","Selected EWEM Type does not match EWEM Category. "),"Nonstandard EWEM type was entered - select best match from provided dropdown list. "))</f>
        <v/>
      </c>
      <c r="H47" s="768" t="str">
        <f>IF('Input-EWEMs'!D31="Water and sewer conservation",IF('Input-EWEMs'!W31=0,"No water savings for EWEM Category: Water and Sewer Conservation. ",""),"")</f>
        <v/>
      </c>
      <c r="I47" s="768" t="str">
        <f>IF('Input-EWEMs'!D31&lt;&gt;"Water and sewer conservation",IF(AND(OR('Input-EWEMs'!W31&gt;0,'Input-EWEMs'!O31&gt;0,'Input-EWEMs'!R31&gt;0),B47&lt;&gt;"Replace washing machines with ENERGY STAR certified", B47&lt;&gt;"Replace dishwashers with ENERGY STAR certified"),I$26,""),"")</f>
        <v/>
      </c>
      <c r="J47" s="768" t="str">
        <f>IF(AND('Input-EWEMs'!E31="Install WaterSense low-flush toilets",'Input-EWEMs'!AH31&gt;0),EWEMQC!J$26,"")</f>
        <v/>
      </c>
      <c r="K47" s="768" t="str">
        <f>IF(AND(OR(B47="Install WaterSense low-flow bath faucets/aerators",B47="Install low-flow kitchen faucets/aerators",B47="Install WaterSense low-flow showerheads",B47="Install low-flow fixtures"),'Input-EWEMs'!AH31=0), K$26,"")</f>
        <v/>
      </c>
      <c r="L47" s="768" t="str">
        <f t="shared" si="1"/>
        <v/>
      </c>
      <c r="M47" s="768" t="str">
        <f>IF(AND(OR(B47="Replace dishwashers with ENERGY STAR certified",B47="Replace washing machines with ENERGY STAR certified"),OR('Input-EWEMs'!AH31=0, 'Input-EWEMs'!AJ31=0)), M$26,"")</f>
        <v/>
      </c>
      <c r="N47" s="768" t="str">
        <f>IF(AND(B47="Upgrade common area lighting",'Input-EWEMs'!N31=0,'Input-Utilities'!$E$10&gt;0),N$26,"")</f>
        <v/>
      </c>
      <c r="O47" s="768" t="str">
        <f>IF(AND(B47="Upgrade in-unit lighting",'Input-EWEMs'!Q31=0,'Input-Utilities'!$D$32="Tenant"),O$26,"")</f>
        <v/>
      </c>
      <c r="P47" s="768" t="str">
        <f>IF(AND(B47="Upgrade common area lighting",'Input-EWEMs'!G31="Apartments"),P$26,"")</f>
        <v/>
      </c>
      <c r="Q47" s="768" t="str">
        <f>IF(AND(B47="Upgrade in-unit lighting",'Input-EWEMs'!G31="Common area"),Q$26,"")</f>
        <v/>
      </c>
      <c r="R47" s="766"/>
      <c r="S47" s="768" t="str">
        <f>IFERROR(IF('Input-EWEMs'!M31/'Input-EWEMs'!H31&lt;INDEX('QC Ranges'!C$19:C$29,MATCH(EWEMQC!B47,'QC Ranges'!$B$19:$B$29,0)),S$26,""),IFERROR(IF('Input-EWEMs'!M31/'Input-EWEMs'!I31&lt;INDEX('QC Ranges'!D$19:D$29,MATCH(EWEMQC!B47,'QC Ranges'!$B$19:$B$29,0)),S$26,""),""))</f>
        <v/>
      </c>
    </row>
    <row r="48" spans="1:19" x14ac:dyDescent="0.2">
      <c r="A48" s="766">
        <v>21</v>
      </c>
      <c r="B48" s="766">
        <f>'Input-EWEMs'!E32</f>
        <v>0</v>
      </c>
      <c r="C48" s="600" t="str">
        <f t="shared" ca="1" si="0"/>
        <v/>
      </c>
      <c r="D48" s="768" t="str">
        <f>IF('Input-EWEMs'!D32="","",IF(AND(B48&lt;&gt;MeasureList!$D$9,SUM('Input-EWEMs'!P32,'Input-EWEMs'!S32)=0),D$26,""))</f>
        <v/>
      </c>
      <c r="E48" s="768" t="str">
        <f>IF('Input-EWEMs'!D32="","",IF(AND(B48&lt;&gt;MeasureList!$D$9,SUM('Input-EWEMs'!AH32,'Input-EWEMs'!AJ32)=0),E$26,""))</f>
        <v/>
      </c>
      <c r="F48" s="768" t="str">
        <f>IF(OR('Input-EWEMs'!D32="",AND('Input-EWEMs'!K32&gt;0,'Input-EWEMs'!L32&gt;0)),"","Cost of material and/or labor not included in installation cost. ")</f>
        <v/>
      </c>
      <c r="G48" s="768" t="str">
        <f ca="1">IF('Input-EWEMs'!E32="","",IF(COUNTIF(MeasureList!$A$3:$N$24,'Input-EWEMs'!E32)&gt;0,IF(ISNUMBER(MATCH('Input-EWEMs'!E32,INDIRECT("MeasureList!"&amp;ADDRESS(1,MATCH('Input-EWEMs'!D32,MeasureList!A$1:'MeasureList'!N$1,0))):INDIRECT("MeasureList!"&amp;ADDRESS(24,MATCH('Input-EWEMs'!D32,MeasureList!A$1:'MeasureList'!N$1,0))),0)),"","Selected EWEM Type does not match EWEM Category. "),"Nonstandard EWEM type was entered - select best match from provided dropdown list. "))</f>
        <v/>
      </c>
      <c r="H48" s="768" t="str">
        <f>IF('Input-EWEMs'!D32="Water and sewer conservation",IF('Input-EWEMs'!W32=0,"No water savings for EWEM Category: Water and Sewer Conservation. ",""),"")</f>
        <v/>
      </c>
      <c r="I48" s="768" t="str">
        <f>IF('Input-EWEMs'!D32&lt;&gt;"Water and sewer conservation",IF(AND(OR('Input-EWEMs'!W32&gt;0,'Input-EWEMs'!O32&gt;0,'Input-EWEMs'!R32&gt;0),B48&lt;&gt;"Replace washing machines with ENERGY STAR certified", B48&lt;&gt;"Replace dishwashers with ENERGY STAR certified"),I$26,""),"")</f>
        <v/>
      </c>
      <c r="J48" s="768" t="str">
        <f>IF(AND('Input-EWEMs'!E32="Install WaterSense low-flush toilets",'Input-EWEMs'!AH32&gt;0),EWEMQC!J$26,"")</f>
        <v/>
      </c>
      <c r="K48" s="768" t="str">
        <f>IF(AND(OR(B48="Install WaterSense low-flow bath faucets/aerators",B48="Install low-flow kitchen faucets/aerators",B48="Install WaterSense low-flow showerheads",B48="Install low-flow fixtures"),'Input-EWEMs'!AH32=0), K$26,"")</f>
        <v/>
      </c>
      <c r="L48" s="768" t="str">
        <f t="shared" si="1"/>
        <v/>
      </c>
      <c r="M48" s="768" t="str">
        <f>IF(AND(OR(B48="Replace dishwashers with ENERGY STAR certified",B48="Replace washing machines with ENERGY STAR certified"),OR('Input-EWEMs'!AH32=0, 'Input-EWEMs'!AJ32=0)), M$26,"")</f>
        <v/>
      </c>
      <c r="N48" s="768" t="str">
        <f>IF(AND(B48="Upgrade common area lighting",'Input-EWEMs'!N32=0,'Input-Utilities'!$E$10&gt;0),N$26,"")</f>
        <v/>
      </c>
      <c r="O48" s="768" t="str">
        <f>IF(AND(B48="Upgrade in-unit lighting",'Input-EWEMs'!Q32=0,'Input-Utilities'!$D$32="Tenant"),O$26,"")</f>
        <v/>
      </c>
      <c r="P48" s="768" t="str">
        <f>IF(AND(B48="Upgrade common area lighting",'Input-EWEMs'!G32="Apartments"),P$26,"")</f>
        <v/>
      </c>
      <c r="Q48" s="768" t="str">
        <f>IF(AND(B48="Upgrade in-unit lighting",'Input-EWEMs'!G32="Common area"),Q$26,"")</f>
        <v/>
      </c>
      <c r="R48" s="766"/>
      <c r="S48" s="768" t="str">
        <f>IFERROR(IF('Input-EWEMs'!M32/'Input-EWEMs'!H32&lt;INDEX('QC Ranges'!C$19:C$29,MATCH(EWEMQC!B48,'QC Ranges'!$B$19:$B$29,0)),S$26,""),IFERROR(IF('Input-EWEMs'!M32/'Input-EWEMs'!I32&lt;INDEX('QC Ranges'!D$19:D$29,MATCH(EWEMQC!B48,'QC Ranges'!$B$19:$B$29,0)),S$26,""),""))</f>
        <v/>
      </c>
    </row>
    <row r="49" spans="1:19" x14ac:dyDescent="0.2">
      <c r="A49" s="766">
        <v>22</v>
      </c>
      <c r="B49" s="766">
        <f>'Input-EWEMs'!E33</f>
        <v>0</v>
      </c>
      <c r="C49" s="600" t="str">
        <f t="shared" ca="1" si="0"/>
        <v/>
      </c>
      <c r="D49" s="768" t="str">
        <f>IF('Input-EWEMs'!D33="","",IF(AND(B49&lt;&gt;MeasureList!$D$9,SUM('Input-EWEMs'!P33,'Input-EWEMs'!S33)=0),D$26,""))</f>
        <v/>
      </c>
      <c r="E49" s="768" t="str">
        <f>IF('Input-EWEMs'!D33="","",IF(AND(B49&lt;&gt;MeasureList!$D$9,SUM('Input-EWEMs'!AH33,'Input-EWEMs'!AJ33)=0),E$26,""))</f>
        <v/>
      </c>
      <c r="F49" s="768" t="str">
        <f>IF(OR('Input-EWEMs'!D33="",AND('Input-EWEMs'!K33&gt;0,'Input-EWEMs'!L33&gt;0)),"","Cost of material and/or labor not included in installation cost. ")</f>
        <v/>
      </c>
      <c r="G49" s="768" t="str">
        <f ca="1">IF('Input-EWEMs'!E33="","",IF(COUNTIF(MeasureList!$A$3:$N$24,'Input-EWEMs'!E33)&gt;0,IF(ISNUMBER(MATCH('Input-EWEMs'!E33,INDIRECT("MeasureList!"&amp;ADDRESS(1,MATCH('Input-EWEMs'!D33,MeasureList!A$1:'MeasureList'!N$1,0))):INDIRECT("MeasureList!"&amp;ADDRESS(24,MATCH('Input-EWEMs'!D33,MeasureList!A$1:'MeasureList'!N$1,0))),0)),"","Selected EWEM Type does not match EWEM Category. "),"Nonstandard EWEM type was entered - select best match from provided dropdown list. "))</f>
        <v/>
      </c>
      <c r="H49" s="768" t="str">
        <f>IF('Input-EWEMs'!D33="Water and sewer conservation",IF('Input-EWEMs'!W33=0,"No water savings for EWEM Category: Water and Sewer Conservation. ",""),"")</f>
        <v/>
      </c>
      <c r="I49" s="768" t="str">
        <f>IF('Input-EWEMs'!D33&lt;&gt;"Water and sewer conservation",IF(AND(OR('Input-EWEMs'!W33&gt;0,'Input-EWEMs'!O33&gt;0,'Input-EWEMs'!R33&gt;0),B49&lt;&gt;"Replace washing machines with ENERGY STAR certified", B49&lt;&gt;"Replace dishwashers with ENERGY STAR certified"),I$26,""),"")</f>
        <v/>
      </c>
      <c r="J49" s="768" t="str">
        <f>IF(AND('Input-EWEMs'!E33="Install WaterSense low-flush toilets",'Input-EWEMs'!AH33&gt;0),EWEMQC!J$26,"")</f>
        <v/>
      </c>
      <c r="K49" s="768" t="str">
        <f>IF(AND(OR(B49="Install WaterSense low-flow bath faucets/aerators",B49="Install low-flow kitchen faucets/aerators",B49="Install WaterSense low-flow showerheads",B49="Install low-flow fixtures"),'Input-EWEMs'!AH33=0), K$26,"")</f>
        <v/>
      </c>
      <c r="L49" s="768" t="str">
        <f t="shared" si="1"/>
        <v/>
      </c>
      <c r="M49" s="768" t="str">
        <f>IF(AND(OR(B49="Replace dishwashers with ENERGY STAR certified",B49="Replace washing machines with ENERGY STAR certified"),OR('Input-EWEMs'!AH33=0, 'Input-EWEMs'!AJ33=0)), M$26,"")</f>
        <v/>
      </c>
      <c r="N49" s="768" t="str">
        <f>IF(AND(B49="Upgrade common area lighting",'Input-EWEMs'!N33=0,'Input-Utilities'!$E$10&gt;0),N$26,"")</f>
        <v/>
      </c>
      <c r="O49" s="768" t="str">
        <f>IF(AND(B49="Upgrade in-unit lighting",'Input-EWEMs'!Q33=0,'Input-Utilities'!$D$32="Tenant"),O$26,"")</f>
        <v/>
      </c>
      <c r="P49" s="768" t="str">
        <f>IF(AND(B49="Upgrade common area lighting",'Input-EWEMs'!G33="Apartments"),P$26,"")</f>
        <v/>
      </c>
      <c r="Q49" s="768" t="str">
        <f>IF(AND(B49="Upgrade in-unit lighting",'Input-EWEMs'!G33="Common area"),Q$26,"")</f>
        <v/>
      </c>
      <c r="R49" s="766"/>
      <c r="S49" s="768" t="str">
        <f>IFERROR(IF('Input-EWEMs'!M33/'Input-EWEMs'!H33&lt;INDEX('QC Ranges'!C$19:C$29,MATCH(EWEMQC!B49,'QC Ranges'!$B$19:$B$29,0)),S$26,""),IFERROR(IF('Input-EWEMs'!M33/'Input-EWEMs'!I33&lt;INDEX('QC Ranges'!D$19:D$29,MATCH(EWEMQC!B49,'QC Ranges'!$B$19:$B$29,0)),S$26,""),""))</f>
        <v/>
      </c>
    </row>
    <row r="50" spans="1:19" x14ac:dyDescent="0.2">
      <c r="A50" s="766">
        <v>23</v>
      </c>
      <c r="B50" s="766">
        <f>'Input-EWEMs'!E34</f>
        <v>0</v>
      </c>
      <c r="C50" s="600" t="str">
        <f t="shared" ca="1" si="0"/>
        <v/>
      </c>
      <c r="D50" s="768" t="str">
        <f>IF('Input-EWEMs'!D34="","",IF(AND(B50&lt;&gt;MeasureList!$D$9,SUM('Input-EWEMs'!P34,'Input-EWEMs'!S34)=0),D$26,""))</f>
        <v/>
      </c>
      <c r="E50" s="768" t="str">
        <f>IF('Input-EWEMs'!D34="","",IF(AND(B50&lt;&gt;MeasureList!$D$9,SUM('Input-EWEMs'!AH34,'Input-EWEMs'!AJ34)=0),E$26,""))</f>
        <v/>
      </c>
      <c r="F50" s="768" t="str">
        <f>IF(OR('Input-EWEMs'!D34="",AND('Input-EWEMs'!K34&gt;0,'Input-EWEMs'!L34&gt;0)),"","Cost of material and/or labor not included in installation cost. ")</f>
        <v/>
      </c>
      <c r="G50" s="768" t="str">
        <f ca="1">IF('Input-EWEMs'!E34="","",IF(COUNTIF(MeasureList!$A$3:$N$24,'Input-EWEMs'!E34)&gt;0,IF(ISNUMBER(MATCH('Input-EWEMs'!E34,INDIRECT("MeasureList!"&amp;ADDRESS(1,MATCH('Input-EWEMs'!D34,MeasureList!A$1:'MeasureList'!N$1,0))):INDIRECT("MeasureList!"&amp;ADDRESS(24,MATCH('Input-EWEMs'!D34,MeasureList!A$1:'MeasureList'!N$1,0))),0)),"","Selected EWEM Type does not match EWEM Category. "),"Nonstandard EWEM type was entered - select best match from provided dropdown list. "))</f>
        <v/>
      </c>
      <c r="H50" s="768" t="str">
        <f>IF('Input-EWEMs'!D34="Water and sewer conservation",IF('Input-EWEMs'!W34=0,"No water savings for EWEM Category: Water and Sewer Conservation. ",""),"")</f>
        <v/>
      </c>
      <c r="I50" s="768" t="str">
        <f>IF('Input-EWEMs'!D34&lt;&gt;"Water and sewer conservation",IF(AND(OR('Input-EWEMs'!W34&gt;0,'Input-EWEMs'!O34&gt;0,'Input-EWEMs'!R34&gt;0),B50&lt;&gt;"Replace washing machines with ENERGY STAR certified", B50&lt;&gt;"Replace dishwashers with ENERGY STAR certified"),I$26,""),"")</f>
        <v/>
      </c>
      <c r="J50" s="768" t="str">
        <f>IF(AND('Input-EWEMs'!E34="Install WaterSense low-flush toilets",'Input-EWEMs'!AH34&gt;0),EWEMQC!J$26,"")</f>
        <v/>
      </c>
      <c r="K50" s="768" t="str">
        <f>IF(AND(OR(B50="Install WaterSense low-flow bath faucets/aerators",B50="Install low-flow kitchen faucets/aerators",B50="Install WaterSense low-flow showerheads",B50="Install low-flow fixtures"),'Input-EWEMs'!AH34=0), K$26,"")</f>
        <v/>
      </c>
      <c r="L50" s="768" t="str">
        <f t="shared" si="1"/>
        <v/>
      </c>
      <c r="M50" s="768" t="str">
        <f>IF(AND(OR(B50="Replace dishwashers with ENERGY STAR certified",B50="Replace washing machines with ENERGY STAR certified"),OR('Input-EWEMs'!AH34=0, 'Input-EWEMs'!AJ34=0)), M$26,"")</f>
        <v/>
      </c>
      <c r="N50" s="768" t="str">
        <f>IF(AND(B50="Upgrade common area lighting",'Input-EWEMs'!N34=0,'Input-Utilities'!$E$10&gt;0),N$26,"")</f>
        <v/>
      </c>
      <c r="O50" s="768" t="str">
        <f>IF(AND(B50="Upgrade in-unit lighting",'Input-EWEMs'!Q34=0,'Input-Utilities'!$D$32="Tenant"),O$26,"")</f>
        <v/>
      </c>
      <c r="P50" s="768" t="str">
        <f>IF(AND(B50="Upgrade common area lighting",'Input-EWEMs'!G34="Apartments"),P$26,"")</f>
        <v/>
      </c>
      <c r="Q50" s="768" t="str">
        <f>IF(AND(B50="Upgrade in-unit lighting",'Input-EWEMs'!G34="Common area"),Q$26,"")</f>
        <v/>
      </c>
      <c r="R50" s="766"/>
      <c r="S50" s="768" t="str">
        <f>IFERROR(IF('Input-EWEMs'!M34/'Input-EWEMs'!H34&lt;INDEX('QC Ranges'!C$19:C$29,MATCH(EWEMQC!B50,'QC Ranges'!$B$19:$B$29,0)),S$26,""),IFERROR(IF('Input-EWEMs'!M34/'Input-EWEMs'!I34&lt;INDEX('QC Ranges'!D$19:D$29,MATCH(EWEMQC!B50,'QC Ranges'!$B$19:$B$29,0)),S$26,""),""))</f>
        <v/>
      </c>
    </row>
    <row r="51" spans="1:19" x14ac:dyDescent="0.2">
      <c r="A51" s="766">
        <v>24</v>
      </c>
      <c r="B51" s="766">
        <f>'Input-EWEMs'!E35</f>
        <v>0</v>
      </c>
      <c r="C51" s="600" t="str">
        <f t="shared" ca="1" si="0"/>
        <v/>
      </c>
      <c r="D51" s="768" t="str">
        <f>IF('Input-EWEMs'!D35="","",IF(AND(B51&lt;&gt;MeasureList!$D$9,SUM('Input-EWEMs'!P35,'Input-EWEMs'!S35)=0),D$26,""))</f>
        <v/>
      </c>
      <c r="E51" s="768" t="str">
        <f>IF('Input-EWEMs'!D35="","",IF(AND(B51&lt;&gt;MeasureList!$D$9,SUM('Input-EWEMs'!AH35,'Input-EWEMs'!AJ35)=0),E$26,""))</f>
        <v/>
      </c>
      <c r="F51" s="768" t="str">
        <f>IF(OR('Input-EWEMs'!D35="",AND('Input-EWEMs'!K35&gt;0,'Input-EWEMs'!L35&gt;0)),"","Cost of material and/or labor not included in installation cost. ")</f>
        <v/>
      </c>
      <c r="G51" s="768" t="str">
        <f ca="1">IF('Input-EWEMs'!E35="","",IF(COUNTIF(MeasureList!$A$3:$N$24,'Input-EWEMs'!E35)&gt;0,IF(ISNUMBER(MATCH('Input-EWEMs'!E35,INDIRECT("MeasureList!"&amp;ADDRESS(1,MATCH('Input-EWEMs'!D35,MeasureList!A$1:'MeasureList'!N$1,0))):INDIRECT("MeasureList!"&amp;ADDRESS(24,MATCH('Input-EWEMs'!D35,MeasureList!A$1:'MeasureList'!N$1,0))),0)),"","Selected EWEM Type does not match EWEM Category. "),"Nonstandard EWEM type was entered - select best match from provided dropdown list. "))</f>
        <v/>
      </c>
      <c r="H51" s="768" t="str">
        <f>IF('Input-EWEMs'!D35="Water and sewer conservation",IF('Input-EWEMs'!W35=0,"No water savings for EWEM Category: Water and Sewer Conservation. ",""),"")</f>
        <v/>
      </c>
      <c r="I51" s="768" t="str">
        <f>IF('Input-EWEMs'!D35&lt;&gt;"Water and sewer conservation",IF(AND(OR('Input-EWEMs'!W35&gt;0,'Input-EWEMs'!O35&gt;0,'Input-EWEMs'!R35&gt;0),B51&lt;&gt;"Replace washing machines with ENERGY STAR certified", B51&lt;&gt;"Replace dishwashers with ENERGY STAR certified"),I$26,""),"")</f>
        <v/>
      </c>
      <c r="J51" s="768" t="str">
        <f>IF(AND('Input-EWEMs'!E35="Install WaterSense low-flush toilets",'Input-EWEMs'!AH35&gt;0),EWEMQC!J$26,"")</f>
        <v/>
      </c>
      <c r="K51" s="768" t="str">
        <f>IF(AND(OR(B51="Install WaterSense low-flow bath faucets/aerators",B51="Install low-flow kitchen faucets/aerators",B51="Install WaterSense low-flow showerheads",B51="Install low-flow fixtures"),'Input-EWEMs'!AH35=0), K$26,"")</f>
        <v/>
      </c>
      <c r="L51" s="768" t="str">
        <f t="shared" si="1"/>
        <v/>
      </c>
      <c r="M51" s="768" t="str">
        <f>IF(AND(OR(B51="Replace dishwashers with ENERGY STAR certified",B51="Replace washing machines with ENERGY STAR certified"),OR('Input-EWEMs'!AH35=0, 'Input-EWEMs'!AJ35=0)), M$26,"")</f>
        <v/>
      </c>
      <c r="N51" s="768" t="str">
        <f>IF(AND(B51="Upgrade common area lighting",'Input-EWEMs'!N35=0,'Input-Utilities'!$E$10&gt;0),N$26,"")</f>
        <v/>
      </c>
      <c r="O51" s="768" t="str">
        <f>IF(AND(B51="Upgrade in-unit lighting",'Input-EWEMs'!Q35=0,'Input-Utilities'!$D$32="Tenant"),O$26,"")</f>
        <v/>
      </c>
      <c r="P51" s="768" t="str">
        <f>IF(AND(B51="Upgrade common area lighting",'Input-EWEMs'!G35="Apartments"),P$26,"")</f>
        <v/>
      </c>
      <c r="Q51" s="768" t="str">
        <f>IF(AND(B51="Upgrade in-unit lighting",'Input-EWEMs'!G35="Common area"),Q$26,"")</f>
        <v/>
      </c>
      <c r="R51" s="766"/>
      <c r="S51" s="768" t="str">
        <f>IFERROR(IF('Input-EWEMs'!M35/'Input-EWEMs'!H35&lt;INDEX('QC Ranges'!C$19:C$29,MATCH(EWEMQC!B51,'QC Ranges'!$B$19:$B$29,0)),S$26,""),IFERROR(IF('Input-EWEMs'!M35/'Input-EWEMs'!I35&lt;INDEX('QC Ranges'!D$19:D$29,MATCH(EWEMQC!B51,'QC Ranges'!$B$19:$B$29,0)),S$26,""),""))</f>
        <v/>
      </c>
    </row>
    <row r="52" spans="1:19" x14ac:dyDescent="0.2">
      <c r="A52" s="766">
        <v>25</v>
      </c>
      <c r="B52" s="766">
        <f>'Input-EWEMs'!E36</f>
        <v>0</v>
      </c>
      <c r="C52" s="600" t="str">
        <f t="shared" ca="1" si="0"/>
        <v/>
      </c>
      <c r="D52" s="768" t="str">
        <f>IF('Input-EWEMs'!D36="","",IF(AND(B52&lt;&gt;MeasureList!$D$9,SUM('Input-EWEMs'!P36,'Input-EWEMs'!S36)=0),D$26,""))</f>
        <v/>
      </c>
      <c r="E52" s="768" t="str">
        <f>IF('Input-EWEMs'!D36="","",IF(AND(B52&lt;&gt;MeasureList!$D$9,SUM('Input-EWEMs'!AH36,'Input-EWEMs'!AJ36)=0),E$26,""))</f>
        <v/>
      </c>
      <c r="F52" s="768" t="str">
        <f>IF(OR('Input-EWEMs'!D36="",AND('Input-EWEMs'!K36&gt;0,'Input-EWEMs'!L36&gt;0)),"","Cost of material and/or labor not included in installation cost. ")</f>
        <v/>
      </c>
      <c r="G52" s="768" t="str">
        <f ca="1">IF('Input-EWEMs'!E36="","",IF(COUNTIF(MeasureList!$A$3:$N$24,'Input-EWEMs'!E36)&gt;0,IF(ISNUMBER(MATCH('Input-EWEMs'!E36,INDIRECT("MeasureList!"&amp;ADDRESS(1,MATCH('Input-EWEMs'!D36,MeasureList!A$1:'MeasureList'!N$1,0))):INDIRECT("MeasureList!"&amp;ADDRESS(24,MATCH('Input-EWEMs'!D36,MeasureList!A$1:'MeasureList'!N$1,0))),0)),"","Selected EWEM Type does not match EWEM Category. "),"Nonstandard EWEM type was entered - select best match from provided dropdown list. "))</f>
        <v/>
      </c>
      <c r="H52" s="768" t="str">
        <f>IF('Input-EWEMs'!D36="Water and sewer conservation",IF('Input-EWEMs'!W36=0,"No water savings for EWEM Category: Water and Sewer Conservation. ",""),"")</f>
        <v/>
      </c>
      <c r="I52" s="768" t="str">
        <f>IF('Input-EWEMs'!D36&lt;&gt;"Water and sewer conservation",IF(AND(OR('Input-EWEMs'!W36&gt;0,'Input-EWEMs'!O36&gt;0,'Input-EWEMs'!R36&gt;0),B52&lt;&gt;"Replace washing machines with ENERGY STAR certified", B52&lt;&gt;"Replace dishwashers with ENERGY STAR certified"),I$26,""),"")</f>
        <v/>
      </c>
      <c r="J52" s="768" t="str">
        <f>IF(AND('Input-EWEMs'!E36="Install WaterSense low-flush toilets",'Input-EWEMs'!AH36&gt;0),EWEMQC!J$26,"")</f>
        <v/>
      </c>
      <c r="K52" s="768" t="str">
        <f>IF(AND(OR(B52="Install WaterSense low-flow bath faucets/aerators",B52="Install low-flow kitchen faucets/aerators",B52="Install WaterSense low-flow showerheads",B52="Install low-flow fixtures"),'Input-EWEMs'!AH36=0), K$26,"")</f>
        <v/>
      </c>
      <c r="L52" s="768" t="str">
        <f t="shared" si="1"/>
        <v/>
      </c>
      <c r="M52" s="768" t="str">
        <f>IF(AND(OR(B52="Replace dishwashers with ENERGY STAR certified",B52="Replace washing machines with ENERGY STAR certified"),OR('Input-EWEMs'!AH36=0, 'Input-EWEMs'!AJ36=0)), M$26,"")</f>
        <v/>
      </c>
      <c r="N52" s="768" t="str">
        <f>IF(AND(B52="Upgrade common area lighting",'Input-EWEMs'!N36=0,'Input-Utilities'!$E$10&gt;0),N$26,"")</f>
        <v/>
      </c>
      <c r="O52" s="768" t="str">
        <f>IF(AND(B52="Upgrade in-unit lighting",'Input-EWEMs'!Q36=0,'Input-Utilities'!$D$32="Tenant"),O$26,"")</f>
        <v/>
      </c>
      <c r="P52" s="768" t="str">
        <f>IF(AND(B52="Upgrade common area lighting",'Input-EWEMs'!G36="Apartments"),P$26,"")</f>
        <v/>
      </c>
      <c r="Q52" s="768" t="str">
        <f>IF(AND(B52="Upgrade in-unit lighting",'Input-EWEMs'!G36="Common area"),Q$26,"")</f>
        <v/>
      </c>
      <c r="R52" s="766"/>
      <c r="S52" s="768" t="str">
        <f>IFERROR(IF('Input-EWEMs'!M36/'Input-EWEMs'!H36&lt;INDEX('QC Ranges'!C$19:C$29,MATCH(EWEMQC!B52,'QC Ranges'!$B$19:$B$29,0)),S$26,""),IFERROR(IF('Input-EWEMs'!M36/'Input-EWEMs'!I36&lt;INDEX('QC Ranges'!D$19:D$29,MATCH(EWEMQC!B52,'QC Ranges'!$B$19:$B$29,0)),S$26,""),""))</f>
        <v/>
      </c>
    </row>
    <row r="53" spans="1:19" x14ac:dyDescent="0.2">
      <c r="A53" s="766">
        <v>26</v>
      </c>
      <c r="B53" s="766">
        <f>'Input-EWEMs'!E37</f>
        <v>0</v>
      </c>
      <c r="C53" s="600" t="str">
        <f t="shared" ca="1" si="0"/>
        <v/>
      </c>
      <c r="D53" s="768" t="str">
        <f>IF('Input-EWEMs'!D37="","",IF(AND(B53&lt;&gt;MeasureList!$D$9,SUM('Input-EWEMs'!P37,'Input-EWEMs'!S37)=0),D$26,""))</f>
        <v/>
      </c>
      <c r="E53" s="768" t="str">
        <f>IF('Input-EWEMs'!D37="","",IF(AND(B53&lt;&gt;MeasureList!$D$9,SUM('Input-EWEMs'!AH37,'Input-EWEMs'!AJ37)=0),E$26,""))</f>
        <v/>
      </c>
      <c r="F53" s="768" t="str">
        <f>IF(OR('Input-EWEMs'!D37="",AND('Input-EWEMs'!K37&gt;0,'Input-EWEMs'!L37&gt;0)),"","Cost of material and/or labor not included in installation cost. ")</f>
        <v/>
      </c>
      <c r="G53" s="768" t="str">
        <f ca="1">IF('Input-EWEMs'!E37="","",IF(COUNTIF(MeasureList!$A$3:$N$24,'Input-EWEMs'!E37)&gt;0,IF(ISNUMBER(MATCH('Input-EWEMs'!E37,INDIRECT("MeasureList!"&amp;ADDRESS(1,MATCH('Input-EWEMs'!D37,MeasureList!A$1:'MeasureList'!N$1,0))):INDIRECT("MeasureList!"&amp;ADDRESS(24,MATCH('Input-EWEMs'!D37,MeasureList!A$1:'MeasureList'!N$1,0))),0)),"","Selected EWEM Type does not match EWEM Category. "),"Nonstandard EWEM type was entered - select best match from provided dropdown list. "))</f>
        <v/>
      </c>
      <c r="H53" s="768" t="str">
        <f>IF('Input-EWEMs'!D37="Water and sewer conservation",IF('Input-EWEMs'!W37=0,"No water savings for EWEM Category: Water and Sewer Conservation. ",""),"")</f>
        <v/>
      </c>
      <c r="I53" s="768" t="str">
        <f>IF('Input-EWEMs'!D37&lt;&gt;"Water and sewer conservation",IF(AND(OR('Input-EWEMs'!W37&gt;0,'Input-EWEMs'!O37&gt;0,'Input-EWEMs'!R37&gt;0),B53&lt;&gt;"Replace washing machines with ENERGY STAR certified", B53&lt;&gt;"Replace dishwashers with ENERGY STAR certified"),I$26,""),"")</f>
        <v/>
      </c>
      <c r="J53" s="768" t="str">
        <f>IF(AND('Input-EWEMs'!E37="Install WaterSense low-flush toilets",'Input-EWEMs'!AH37&gt;0),EWEMQC!J$26,"")</f>
        <v/>
      </c>
      <c r="K53" s="768" t="str">
        <f>IF(AND(OR(B53="Install WaterSense low-flow bath faucets/aerators",B53="Install low-flow kitchen faucets/aerators",B53="Install WaterSense low-flow showerheads",B53="Install low-flow fixtures"),'Input-EWEMs'!AH37=0), K$26,"")</f>
        <v/>
      </c>
      <c r="L53" s="768" t="str">
        <f t="shared" si="1"/>
        <v/>
      </c>
      <c r="M53" s="768" t="str">
        <f>IF(AND(OR(B53="Replace dishwashers with ENERGY STAR certified",B53="Replace washing machines with ENERGY STAR certified"),OR('Input-EWEMs'!AH37=0, 'Input-EWEMs'!AJ37=0)), M$26,"")</f>
        <v/>
      </c>
      <c r="N53" s="768" t="str">
        <f>IF(AND(B53="Upgrade common area lighting",'Input-EWEMs'!N37=0,'Input-Utilities'!$E$10&gt;0),N$26,"")</f>
        <v/>
      </c>
      <c r="O53" s="768" t="str">
        <f>IF(AND(B53="Upgrade in-unit lighting",'Input-EWEMs'!Q37=0,'Input-Utilities'!$D$32="Tenant"),O$26,"")</f>
        <v/>
      </c>
      <c r="P53" s="768" t="str">
        <f>IF(AND(B53="Upgrade common area lighting",'Input-EWEMs'!G37="Apartments"),P$26,"")</f>
        <v/>
      </c>
      <c r="Q53" s="768" t="str">
        <f>IF(AND(B53="Upgrade in-unit lighting",'Input-EWEMs'!G37="Common area"),Q$26,"")</f>
        <v/>
      </c>
      <c r="R53" s="766"/>
      <c r="S53" s="768" t="str">
        <f>IFERROR(IF('Input-EWEMs'!M37/'Input-EWEMs'!H37&lt;INDEX('QC Ranges'!C$19:C$29,MATCH(EWEMQC!B53,'QC Ranges'!$B$19:$B$29,0)),S$26,""),IFERROR(IF('Input-EWEMs'!M37/'Input-EWEMs'!I37&lt;INDEX('QC Ranges'!D$19:D$29,MATCH(EWEMQC!B53,'QC Ranges'!$B$19:$B$29,0)),S$26,""),""))</f>
        <v/>
      </c>
    </row>
    <row r="54" spans="1:19" x14ac:dyDescent="0.2">
      <c r="A54" s="766">
        <v>27</v>
      </c>
      <c r="B54" s="766">
        <f>'Input-EWEMs'!E38</f>
        <v>0</v>
      </c>
      <c r="C54" s="600" t="str">
        <f t="shared" ca="1" si="0"/>
        <v/>
      </c>
      <c r="D54" s="768" t="str">
        <f>IF('Input-EWEMs'!D38="","",IF(AND(B54&lt;&gt;MeasureList!$D$9,SUM('Input-EWEMs'!P38,'Input-EWEMs'!S38)=0),D$26,""))</f>
        <v/>
      </c>
      <c r="E54" s="768" t="str">
        <f>IF('Input-EWEMs'!D38="","",IF(AND(B54&lt;&gt;MeasureList!$D$9,SUM('Input-EWEMs'!AH38,'Input-EWEMs'!AJ38)=0),E$26,""))</f>
        <v/>
      </c>
      <c r="F54" s="768" t="str">
        <f>IF(OR('Input-EWEMs'!D38="",AND('Input-EWEMs'!K38&gt;0,'Input-EWEMs'!L38&gt;0)),"","Cost of material and/or labor not included in installation cost. ")</f>
        <v/>
      </c>
      <c r="G54" s="768" t="str">
        <f ca="1">IF('Input-EWEMs'!E38="","",IF(COUNTIF(MeasureList!$A$3:$N$24,'Input-EWEMs'!E38)&gt;0,IF(ISNUMBER(MATCH('Input-EWEMs'!E38,INDIRECT("MeasureList!"&amp;ADDRESS(1,MATCH('Input-EWEMs'!D38,MeasureList!A$1:'MeasureList'!N$1,0))):INDIRECT("MeasureList!"&amp;ADDRESS(24,MATCH('Input-EWEMs'!D38,MeasureList!A$1:'MeasureList'!N$1,0))),0)),"","Selected EWEM Type does not match EWEM Category. "),"Nonstandard EWEM type was entered - select best match from provided dropdown list. "))</f>
        <v/>
      </c>
      <c r="H54" s="768" t="str">
        <f>IF('Input-EWEMs'!D38="Water and sewer conservation",IF('Input-EWEMs'!W38=0,"No water savings for EWEM Category: Water and Sewer Conservation. ",""),"")</f>
        <v/>
      </c>
      <c r="I54" s="768" t="str">
        <f>IF('Input-EWEMs'!D38&lt;&gt;"Water and sewer conservation",IF(AND(OR('Input-EWEMs'!W38&gt;0,'Input-EWEMs'!O38&gt;0,'Input-EWEMs'!R38&gt;0),B54&lt;&gt;"Replace washing machines with ENERGY STAR certified", B54&lt;&gt;"Replace dishwashers with ENERGY STAR certified"),I$26,""),"")</f>
        <v/>
      </c>
      <c r="J54" s="768" t="str">
        <f>IF(AND('Input-EWEMs'!E38="Install WaterSense low-flush toilets",'Input-EWEMs'!AH38&gt;0),EWEMQC!J$26,"")</f>
        <v/>
      </c>
      <c r="K54" s="768" t="str">
        <f>IF(AND(OR(B54="Install WaterSense low-flow bath faucets/aerators",B54="Install low-flow kitchen faucets/aerators",B54="Install WaterSense low-flow showerheads",B54="Install low-flow fixtures"),'Input-EWEMs'!AH38=0), K$26,"")</f>
        <v/>
      </c>
      <c r="L54" s="768" t="str">
        <f t="shared" si="1"/>
        <v/>
      </c>
      <c r="M54" s="768" t="str">
        <f>IF(AND(OR(B54="Replace dishwashers with ENERGY STAR certified",B54="Replace washing machines with ENERGY STAR certified"),OR('Input-EWEMs'!AH38=0, 'Input-EWEMs'!AJ38=0)), M$26,"")</f>
        <v/>
      </c>
      <c r="N54" s="768" t="str">
        <f>IF(AND(B54="Upgrade common area lighting",'Input-EWEMs'!N38=0,'Input-Utilities'!$E$10&gt;0),N$26,"")</f>
        <v/>
      </c>
      <c r="O54" s="768" t="str">
        <f>IF(AND(B54="Upgrade in-unit lighting",'Input-EWEMs'!Q38=0,'Input-Utilities'!$D$32="Tenant"),O$26,"")</f>
        <v/>
      </c>
      <c r="P54" s="768" t="str">
        <f>IF(AND(B54="Upgrade common area lighting",'Input-EWEMs'!G38="Apartments"),P$26,"")</f>
        <v/>
      </c>
      <c r="Q54" s="768" t="str">
        <f>IF(AND(B54="Upgrade in-unit lighting",'Input-EWEMs'!G38="Common area"),Q$26,"")</f>
        <v/>
      </c>
      <c r="R54" s="766"/>
      <c r="S54" s="768" t="str">
        <f>IFERROR(IF('Input-EWEMs'!M38/'Input-EWEMs'!H38&lt;INDEX('QC Ranges'!C$19:C$29,MATCH(EWEMQC!B54,'QC Ranges'!$B$19:$B$29,0)),S$26,""),IFERROR(IF('Input-EWEMs'!M38/'Input-EWEMs'!I38&lt;INDEX('QC Ranges'!D$19:D$29,MATCH(EWEMQC!B54,'QC Ranges'!$B$19:$B$29,0)),S$26,""),""))</f>
        <v/>
      </c>
    </row>
    <row r="55" spans="1:19" x14ac:dyDescent="0.2">
      <c r="A55" s="766">
        <v>28</v>
      </c>
      <c r="B55" s="766">
        <f>'Input-EWEMs'!E39</f>
        <v>0</v>
      </c>
      <c r="C55" s="600" t="str">
        <f t="shared" ca="1" si="0"/>
        <v/>
      </c>
      <c r="D55" s="768" t="str">
        <f>IF('Input-EWEMs'!D39="","",IF(AND(B55&lt;&gt;MeasureList!$D$9,SUM('Input-EWEMs'!P39,'Input-EWEMs'!S39)=0),D$26,""))</f>
        <v/>
      </c>
      <c r="E55" s="768" t="str">
        <f>IF('Input-EWEMs'!D39="","",IF(AND(B55&lt;&gt;MeasureList!$D$9,SUM('Input-EWEMs'!AH39,'Input-EWEMs'!AJ39)=0),E$26,""))</f>
        <v/>
      </c>
      <c r="F55" s="768" t="str">
        <f>IF(OR('Input-EWEMs'!D39="",AND('Input-EWEMs'!K39&gt;0,'Input-EWEMs'!L39&gt;0)),"","Cost of material and/or labor not included in installation cost. ")</f>
        <v/>
      </c>
      <c r="G55" s="768" t="str">
        <f ca="1">IF('Input-EWEMs'!E39="","",IF(COUNTIF(MeasureList!$A$3:$N$24,'Input-EWEMs'!E39)&gt;0,IF(ISNUMBER(MATCH('Input-EWEMs'!E39,INDIRECT("MeasureList!"&amp;ADDRESS(1,MATCH('Input-EWEMs'!D39,MeasureList!A$1:'MeasureList'!N$1,0))):INDIRECT("MeasureList!"&amp;ADDRESS(24,MATCH('Input-EWEMs'!D39,MeasureList!A$1:'MeasureList'!N$1,0))),0)),"","Selected EWEM Type does not match EWEM Category. "),"Nonstandard EWEM type was entered - select best match from provided dropdown list. "))</f>
        <v/>
      </c>
      <c r="H55" s="768" t="str">
        <f>IF('Input-EWEMs'!D39="Water and sewer conservation",IF('Input-EWEMs'!W39=0,"No water savings for EWEM Category: Water and Sewer Conservation. ",""),"")</f>
        <v/>
      </c>
      <c r="I55" s="768" t="str">
        <f>IF('Input-EWEMs'!D39&lt;&gt;"Water and sewer conservation",IF(AND(OR('Input-EWEMs'!W39&gt;0,'Input-EWEMs'!O39&gt;0,'Input-EWEMs'!R39&gt;0),B55&lt;&gt;"Replace washing machines with ENERGY STAR certified", B55&lt;&gt;"Replace dishwashers with ENERGY STAR certified"),I$26,""),"")</f>
        <v/>
      </c>
      <c r="J55" s="768" t="str">
        <f>IF(AND('Input-EWEMs'!E39="Install WaterSense low-flush toilets",'Input-EWEMs'!AH39&gt;0),EWEMQC!J$26,"")</f>
        <v/>
      </c>
      <c r="K55" s="768" t="str">
        <f>IF(AND(OR(B55="Install WaterSense low-flow bath faucets/aerators",B55="Install low-flow kitchen faucets/aerators",B55="Install WaterSense low-flow showerheads",B55="Install low-flow fixtures"),'Input-EWEMs'!AH39=0), K$26,"")</f>
        <v/>
      </c>
      <c r="L55" s="768" t="str">
        <f t="shared" si="1"/>
        <v/>
      </c>
      <c r="M55" s="768" t="str">
        <f>IF(AND(OR(B55="Replace dishwashers with ENERGY STAR certified",B55="Replace washing machines with ENERGY STAR certified"),OR('Input-EWEMs'!AH39=0, 'Input-EWEMs'!AJ39=0)), M$26,"")</f>
        <v/>
      </c>
      <c r="N55" s="768" t="str">
        <f>IF(AND(B55="Upgrade common area lighting",'Input-EWEMs'!N39=0,'Input-Utilities'!$E$10&gt;0),N$26,"")</f>
        <v/>
      </c>
      <c r="O55" s="768" t="str">
        <f>IF(AND(B55="Upgrade in-unit lighting",'Input-EWEMs'!Q39=0,'Input-Utilities'!$D$32="Tenant"),O$26,"")</f>
        <v/>
      </c>
      <c r="P55" s="768" t="str">
        <f>IF(AND(B55="Upgrade common area lighting",'Input-EWEMs'!G39="Apartments"),P$26,"")</f>
        <v/>
      </c>
      <c r="Q55" s="768" t="str">
        <f>IF(AND(B55="Upgrade in-unit lighting",'Input-EWEMs'!G39="Common area"),Q$26,"")</f>
        <v/>
      </c>
      <c r="R55" s="766"/>
      <c r="S55" s="768" t="str">
        <f>IFERROR(IF('Input-EWEMs'!M39/'Input-EWEMs'!H39&lt;INDEX('QC Ranges'!C$19:C$29,MATCH(EWEMQC!B55,'QC Ranges'!$B$19:$B$29,0)),S$26,""),IFERROR(IF('Input-EWEMs'!M39/'Input-EWEMs'!I39&lt;INDEX('QC Ranges'!D$19:D$29,MATCH(EWEMQC!B55,'QC Ranges'!$B$19:$B$29,0)),S$26,""),""))</f>
        <v/>
      </c>
    </row>
    <row r="56" spans="1:19" x14ac:dyDescent="0.2">
      <c r="A56" s="766">
        <v>29</v>
      </c>
      <c r="B56" s="766">
        <f>'Input-EWEMs'!E40</f>
        <v>0</v>
      </c>
      <c r="C56" s="600" t="str">
        <f t="shared" ca="1" si="0"/>
        <v/>
      </c>
      <c r="D56" s="768" t="str">
        <f>IF('Input-EWEMs'!D40="","",IF(AND(B56&lt;&gt;MeasureList!$D$9,SUM('Input-EWEMs'!P40,'Input-EWEMs'!S40)=0),D$26,""))</f>
        <v/>
      </c>
      <c r="E56" s="768" t="str">
        <f>IF('Input-EWEMs'!D40="","",IF(AND(B56&lt;&gt;MeasureList!$D$9,SUM('Input-EWEMs'!AH40,'Input-EWEMs'!AJ40)=0),E$26,""))</f>
        <v/>
      </c>
      <c r="F56" s="768" t="str">
        <f>IF(OR('Input-EWEMs'!D40="",AND('Input-EWEMs'!K40&gt;0,'Input-EWEMs'!L40&gt;0)),"","Cost of material and/or labor not included in installation cost. ")</f>
        <v/>
      </c>
      <c r="G56" s="768" t="str">
        <f ca="1">IF('Input-EWEMs'!E40="","",IF(COUNTIF(MeasureList!$A$3:$N$24,'Input-EWEMs'!E40)&gt;0,IF(ISNUMBER(MATCH('Input-EWEMs'!E40,INDIRECT("MeasureList!"&amp;ADDRESS(1,MATCH('Input-EWEMs'!D40,MeasureList!A$1:'MeasureList'!N$1,0))):INDIRECT("MeasureList!"&amp;ADDRESS(24,MATCH('Input-EWEMs'!D40,MeasureList!A$1:'MeasureList'!N$1,0))),0)),"","Selected EWEM Type does not match EWEM Category. "),"Nonstandard EWEM type was entered - select best match from provided dropdown list. "))</f>
        <v/>
      </c>
      <c r="H56" s="768" t="str">
        <f>IF('Input-EWEMs'!D40="Water and sewer conservation",IF('Input-EWEMs'!W40=0,"No water savings for EWEM Category: Water and Sewer Conservation. ",""),"")</f>
        <v/>
      </c>
      <c r="I56" s="768" t="str">
        <f>IF('Input-EWEMs'!D40&lt;&gt;"Water and sewer conservation",IF(AND(OR('Input-EWEMs'!W40&gt;0,'Input-EWEMs'!O40&gt;0,'Input-EWEMs'!R40&gt;0),B56&lt;&gt;"Replace washing machines with ENERGY STAR certified", B56&lt;&gt;"Replace dishwashers with ENERGY STAR certified"),I$26,""),"")</f>
        <v/>
      </c>
      <c r="J56" s="768" t="str">
        <f>IF(AND('Input-EWEMs'!E40="Install WaterSense low-flush toilets",'Input-EWEMs'!AH40&gt;0),EWEMQC!J$26,"")</f>
        <v/>
      </c>
      <c r="K56" s="768" t="str">
        <f>IF(AND(OR(B56="Install WaterSense low-flow bath faucets/aerators",B56="Install low-flow kitchen faucets/aerators",B56="Install WaterSense low-flow showerheads",B56="Install low-flow fixtures"),'Input-EWEMs'!AH40=0), K$26,"")</f>
        <v/>
      </c>
      <c r="L56" s="768" t="str">
        <f t="shared" si="1"/>
        <v/>
      </c>
      <c r="M56" s="768" t="str">
        <f>IF(AND(OR(B56="Replace dishwashers with ENERGY STAR certified",B56="Replace washing machines with ENERGY STAR certified"),OR('Input-EWEMs'!AH40=0, 'Input-EWEMs'!AJ40=0)), M$26,"")</f>
        <v/>
      </c>
      <c r="N56" s="768" t="str">
        <f>IF(AND(B56="Upgrade common area lighting",'Input-EWEMs'!N40=0,'Input-Utilities'!$E$10&gt;0),N$26,"")</f>
        <v/>
      </c>
      <c r="O56" s="768" t="str">
        <f>IF(AND(B56="Upgrade in-unit lighting",'Input-EWEMs'!Q40=0,'Input-Utilities'!$D$32="Tenant"),O$26,"")</f>
        <v/>
      </c>
      <c r="P56" s="768" t="str">
        <f>IF(AND(B56="Upgrade common area lighting",'Input-EWEMs'!G40="Apartments"),P$26,"")</f>
        <v/>
      </c>
      <c r="Q56" s="768" t="str">
        <f>IF(AND(B56="Upgrade in-unit lighting",'Input-EWEMs'!G40="Common area"),Q$26,"")</f>
        <v/>
      </c>
      <c r="R56" s="766"/>
      <c r="S56" s="768" t="str">
        <f>IFERROR(IF('Input-EWEMs'!M40/'Input-EWEMs'!H40&lt;INDEX('QC Ranges'!C$19:C$29,MATCH(EWEMQC!B56,'QC Ranges'!$B$19:$B$29,0)),S$26,""),IFERROR(IF('Input-EWEMs'!M40/'Input-EWEMs'!I40&lt;INDEX('QC Ranges'!D$19:D$29,MATCH(EWEMQC!B56,'QC Ranges'!$B$19:$B$29,0)),S$26,""),""))</f>
        <v/>
      </c>
    </row>
    <row r="57" spans="1:19" x14ac:dyDescent="0.2">
      <c r="A57" s="766">
        <v>30</v>
      </c>
      <c r="B57" s="766">
        <f>'Input-EWEMs'!E41</f>
        <v>0</v>
      </c>
      <c r="C57" s="600" t="str">
        <f t="shared" ca="1" si="0"/>
        <v/>
      </c>
      <c r="D57" s="768" t="str">
        <f>IF('Input-EWEMs'!D41="","",IF(AND(B57&lt;&gt;MeasureList!$D$9,SUM('Input-EWEMs'!P41,'Input-EWEMs'!S41)=0),D$26,""))</f>
        <v/>
      </c>
      <c r="E57" s="768" t="str">
        <f>IF('Input-EWEMs'!D41="","",IF(AND(B57&lt;&gt;MeasureList!$D$9,SUM('Input-EWEMs'!AH41,'Input-EWEMs'!AJ41)=0),E$26,""))</f>
        <v/>
      </c>
      <c r="F57" s="768" t="str">
        <f>IF(OR('Input-EWEMs'!D41="",AND('Input-EWEMs'!K41&gt;0,'Input-EWEMs'!L41&gt;0)),"","Cost of material and/or labor not included in installation cost. ")</f>
        <v/>
      </c>
      <c r="G57" s="768" t="str">
        <f ca="1">IF('Input-EWEMs'!E41="","",IF(COUNTIF(MeasureList!$A$3:$N$24,'Input-EWEMs'!E41)&gt;0,IF(ISNUMBER(MATCH('Input-EWEMs'!E41,INDIRECT("MeasureList!"&amp;ADDRESS(1,MATCH('Input-EWEMs'!D41,MeasureList!A$1:'MeasureList'!N$1,0))):INDIRECT("MeasureList!"&amp;ADDRESS(24,MATCH('Input-EWEMs'!D41,MeasureList!A$1:'MeasureList'!N$1,0))),0)),"","Selected EWEM Type does not match EWEM Category. "),"Nonstandard EWEM type was entered - select best match from provided dropdown list. "))</f>
        <v/>
      </c>
      <c r="H57" s="768" t="str">
        <f>IF('Input-EWEMs'!D41="Water and sewer conservation",IF('Input-EWEMs'!W41=0,"No water savings for EWEM Category: Water and Sewer Conservation. ",""),"")</f>
        <v/>
      </c>
      <c r="I57" s="768" t="str">
        <f>IF('Input-EWEMs'!D41&lt;&gt;"Water and sewer conservation",IF(AND(OR('Input-EWEMs'!W41&gt;0,'Input-EWEMs'!O41&gt;0,'Input-EWEMs'!R41&gt;0),B57&lt;&gt;"Replace washing machines with ENERGY STAR certified", B57&lt;&gt;"Replace dishwashers with ENERGY STAR certified"),I$26,""),"")</f>
        <v/>
      </c>
      <c r="J57" s="768" t="str">
        <f>IF(AND('Input-EWEMs'!E41="Install WaterSense low-flush toilets",'Input-EWEMs'!AH41&gt;0),EWEMQC!J$26,"")</f>
        <v/>
      </c>
      <c r="K57" s="768" t="str">
        <f>IF(AND(OR(B57="Install WaterSense low-flow bath faucets/aerators",B57="Install low-flow kitchen faucets/aerators",B57="Install WaterSense low-flow showerheads",B57="Install low-flow fixtures"),'Input-EWEMs'!AH41=0), K$26,"")</f>
        <v/>
      </c>
      <c r="L57" s="768" t="str">
        <f t="shared" si="1"/>
        <v/>
      </c>
      <c r="M57" s="768" t="str">
        <f>IF(AND(OR(B57="Replace dishwashers with ENERGY STAR certified",B57="Replace washing machines with ENERGY STAR certified"),OR('Input-EWEMs'!AH41=0, 'Input-EWEMs'!AJ41=0)), M$26,"")</f>
        <v/>
      </c>
      <c r="N57" s="768" t="str">
        <f>IF(AND(B57="Upgrade common area lighting",'Input-EWEMs'!N41=0,'Input-Utilities'!$E$10&gt;0),N$26,"")</f>
        <v/>
      </c>
      <c r="O57" s="768" t="str">
        <f>IF(AND(B57="Upgrade in-unit lighting",'Input-EWEMs'!Q41=0,'Input-Utilities'!$D$32="Tenant"),O$26,"")</f>
        <v/>
      </c>
      <c r="P57" s="768" t="str">
        <f>IF(AND(B57="Upgrade common area lighting",'Input-EWEMs'!G41="Apartments"),P$26,"")</f>
        <v/>
      </c>
      <c r="Q57" s="768" t="str">
        <f>IF(AND(B57="Upgrade in-unit lighting",'Input-EWEMs'!G41="Common area"),Q$26,"")</f>
        <v/>
      </c>
      <c r="R57" s="766"/>
      <c r="S57" s="768" t="str">
        <f>IFERROR(IF('Input-EWEMs'!M41/'Input-EWEMs'!H41&lt;INDEX('QC Ranges'!C$19:C$29,MATCH(EWEMQC!B57,'QC Ranges'!$B$19:$B$29,0)),S$26,""),IFERROR(IF('Input-EWEMs'!M41/'Input-EWEMs'!I41&lt;INDEX('QC Ranges'!D$19:D$29,MATCH(EWEMQC!B57,'QC Ranges'!$B$19:$B$29,0)),S$26,""),""))</f>
        <v/>
      </c>
    </row>
    <row r="59" spans="1:19" x14ac:dyDescent="0.2">
      <c r="A59" t="s">
        <v>223</v>
      </c>
      <c r="B59" s="766"/>
      <c r="C59" s="766"/>
      <c r="D59" s="766"/>
      <c r="E59" s="766"/>
      <c r="F59" s="766"/>
      <c r="G59" s="766"/>
      <c r="H59" s="766"/>
      <c r="I59" s="766"/>
      <c r="J59" s="766"/>
      <c r="K59" s="766"/>
      <c r="L59" s="766"/>
      <c r="M59" s="766"/>
      <c r="N59" s="766"/>
      <c r="O59" s="766"/>
      <c r="P59" s="766"/>
      <c r="Q59" s="766"/>
      <c r="R59" s="766"/>
      <c r="S59" s="766"/>
    </row>
    <row r="60" spans="1:19" x14ac:dyDescent="0.2">
      <c r="A60" s="766">
        <f>'Input-EWEMs'!C52</f>
        <v>0</v>
      </c>
      <c r="B60" s="766" t="str">
        <f>'Input-EWEMs'!E52</f>
        <v/>
      </c>
      <c r="C60" s="600" t="str">
        <f ca="1">D60&amp;E60&amp;F60&amp;G60&amp;H60&amp;I60&amp;J60&amp;K60&amp;L60&amp;M60&amp;N60&amp;O60&amp;P60&amp;Q60&amp;R60&amp;S60</f>
        <v/>
      </c>
      <c r="D60" s="768" t="str">
        <f>IF('Input-EWEMs'!D52="","",IF(AND(B60&lt;&gt;MeasureList!$D$9,SUM('Input-EWEMs'!P52,'Input-EWEMs'!S52)=0),D$26,""))</f>
        <v/>
      </c>
      <c r="E60" s="768" t="str">
        <f>IF('Input-EWEMs'!D52="","",IF(AND(B60&lt;&gt;MeasureList!$D$9,SUM('Input-EWEMs'!AH52,'Input-EWEMs'!AJ52)=0),E$26,""))</f>
        <v/>
      </c>
      <c r="F60" s="768" t="str">
        <f>IF(OR('Input-EWEMs'!D52="",AND('Input-EWEMs'!K52&gt;0,'Input-EWEMs'!L52&gt;0)),"","Cost of material and/or labor not included in installation cost. ")</f>
        <v/>
      </c>
      <c r="G60" s="768" t="str">
        <f ca="1">IF('Input-EWEMs'!E52="","",IF(COUNTIF(MeasureList!$A$3:$N$24,'Input-EWEMs'!E52)&gt;0,IF(ISNUMBER(MATCH('Input-EWEMs'!E52,INDIRECT("MeasureList!"&amp;ADDRESS(1,MATCH('Input-EWEMs'!D52,MeasureList!A$1:'MeasureList'!N$1,0))):INDIRECT("MeasureList!"&amp;ADDRESS(24,MATCH('Input-EWEMs'!D52,MeasureList!A$1:'MeasureList'!N$1,0))),0)),"","Selected EWEM Type does not match EWEM Category. "),"Nonstandard EWEM type was entered - select best match from provided dropdown list. "))</f>
        <v/>
      </c>
      <c r="H60" s="768" t="str">
        <f>IF('Input-EWEMs'!D52="Water and sewer conservation",IF('Input-EWEMs'!W52=0,"No water savings for EWEM Category: Water and Sewer Conservation. ",""),"")</f>
        <v/>
      </c>
      <c r="I60" s="768" t="str">
        <f>IF('Input-EWEMs'!D52&lt;&gt;"Water and sewer conservation",IF(AND(OR('Input-EWEMs'!W52&gt;0,'Input-EWEMs'!O52&gt;0,'Input-EWEMs'!R52&gt;0),B60&lt;&gt;"Replace washing machines with ENERGY STAR certified", B60&lt;&gt;"Replace dishwashers with ENERGY STAR certified"),I$26,""),"")</f>
        <v/>
      </c>
      <c r="J60" s="768" t="str">
        <f>IF(AND('Input-EWEMs'!E52="Install WaterSense low-flush toilets",'Input-EWEMs'!AH52&gt;0),EWEMQC!J$26,"")</f>
        <v/>
      </c>
      <c r="K60" s="768" t="str">
        <f>IF(AND(OR(B60="Install WaterSense low-flow bath faucets/aerators",B60="Install low-flow kitchen faucets/aerators",B60="Install WaterSense low-flow showerheads",B60="Install low-flow fixtures"),'Input-EWEMs'!AH52=0), K$26,"")</f>
        <v/>
      </c>
      <c r="L60" s="766"/>
      <c r="M60" s="768" t="str">
        <f>IF(AND(OR(B60="Replace dishwashers with ENERGY STAR certified",B60="Replace washing machines with ENERGY STAR certified"),OR('Input-EWEMs'!AH52=0, 'Input-EWEMs'!AJ52=0)), M$26,"")</f>
        <v/>
      </c>
      <c r="N60" s="768" t="str">
        <f>IF(AND(B60="Upgrade common area lighting",'Input-EWEMs'!N52=0,'Input-Utilities'!$E$10&gt;0),N$26,"")</f>
        <v/>
      </c>
      <c r="O60" s="768" t="str">
        <f>IF(AND(B60="Upgrade in-unit lighting",'Input-EWEMs'!Q52=0,'Input-Utilities'!$D$32="Tenant"),O$26,"")</f>
        <v/>
      </c>
      <c r="P60" s="768" t="str">
        <f>IF(AND(B60="Upgrade common area lighting",'Input-EWEMs'!G52="Apartments"),P$26,"")</f>
        <v/>
      </c>
      <c r="Q60" s="768" t="str">
        <f>IF(AND(B60="Upgrade in-unit lighting",'Input-EWEMs'!G52="Common area"),Q$26,"")</f>
        <v/>
      </c>
      <c r="R60" s="768" t="str">
        <f>IFERROR(IF('Input-EWEMs'!M52&gt;INDEX('Input-EWEMs'!M$12:M$41,MATCH(A60,'Input-EWEMs'!C$12:C$41,0)),R$26,""),"")</f>
        <v/>
      </c>
      <c r="S60" s="768" t="str">
        <f>IFERROR(IF('Input-EWEMs'!M52/'Input-EWEMs'!H52&lt;INDEX('QC Ranges'!C$19:C$29,MATCH(EWEMQC!B60,'QC Ranges'!$B$19:$B$29,0)),S$26,""),IFERROR(IF('Input-EWEMs'!M52/'Input-EWEMs'!I52&lt;INDEX('QC Ranges'!D$19:D$29,MATCH(EWEMQC!B60,'QC Ranges'!$B$19:$B$29,0)),S$26,""),""))</f>
        <v/>
      </c>
    </row>
    <row r="61" spans="1:19" x14ac:dyDescent="0.2">
      <c r="A61" s="766">
        <f>'Input-EWEMs'!C53</f>
        <v>0</v>
      </c>
      <c r="B61" s="766" t="str">
        <f>'Input-EWEMs'!E53</f>
        <v/>
      </c>
      <c r="C61" s="600" t="str">
        <f t="shared" ref="C61:C69" ca="1" si="2">D61&amp;E61&amp;F61&amp;G61&amp;H61&amp;I61&amp;J61&amp;K61&amp;L61&amp;M61&amp;N61&amp;O61&amp;P61&amp;Q61&amp;R61&amp;S61</f>
        <v/>
      </c>
      <c r="D61" s="768" t="str">
        <f>IF('Input-EWEMs'!D53="","",IF(AND(B61&lt;&gt;MeasureList!$D$9,SUM('Input-EWEMs'!P53,'Input-EWEMs'!S53)=0),D$26,""))</f>
        <v/>
      </c>
      <c r="E61" s="768" t="str">
        <f>IF('Input-EWEMs'!D53="","",IF(AND(B61&lt;&gt;MeasureList!$D$9,SUM('Input-EWEMs'!AH53,'Input-EWEMs'!AJ53)=0),E$26,""))</f>
        <v/>
      </c>
      <c r="F61" s="768" t="str">
        <f>IF(OR('Input-EWEMs'!D53="",AND('Input-EWEMs'!K53&gt;0,'Input-EWEMs'!L53&gt;0)),"","Cost of material and/or labor not included in installation cost. ")</f>
        <v/>
      </c>
      <c r="G61" s="768" t="str">
        <f ca="1">IF('Input-EWEMs'!E53="","",IF(COUNTIF(MeasureList!$A$3:$N$24,'Input-EWEMs'!E53)&gt;0,IF(ISNUMBER(MATCH('Input-EWEMs'!E53,INDIRECT("MeasureList!"&amp;ADDRESS(1,MATCH('Input-EWEMs'!D53,MeasureList!A$1:'MeasureList'!N$1,0))):INDIRECT("MeasureList!"&amp;ADDRESS(24,MATCH('Input-EWEMs'!D53,MeasureList!A$1:'MeasureList'!N$1,0))),0)),"","Selected EWEM Type does not match EWEM Category. "),"Nonstandard EWEM type was entered - select best match from provided dropdown list. "))</f>
        <v/>
      </c>
      <c r="H61" s="768" t="str">
        <f>IF('Input-EWEMs'!D53="Water and sewer conservation",IF('Input-EWEMs'!W53=0,"No water savings for EWEM Category: Water and Sewer Conservation. ",""),"")</f>
        <v/>
      </c>
      <c r="I61" s="768" t="str">
        <f>IF('Input-EWEMs'!D53&lt;&gt;"Water and sewer conservation",IF(AND(OR('Input-EWEMs'!W53&gt;0,'Input-EWEMs'!O53&gt;0,'Input-EWEMs'!R53&gt;0),B61&lt;&gt;"Replace washing machines with ENERGY STAR certified", B61&lt;&gt;"Replace dishwashers with ENERGY STAR certified"),I$26,""),"")</f>
        <v/>
      </c>
      <c r="J61" s="768" t="str">
        <f>IF(AND('Input-EWEMs'!E53="Install WaterSense low-flush toilets",'Input-EWEMs'!AH53&gt;0),EWEMQC!J$26,"")</f>
        <v/>
      </c>
      <c r="K61" s="768" t="str">
        <f>IF(AND(OR(B61="Install WaterSense low-flow bath faucets/aerators",B61="Install low-flow kitchen faucets/aerators",B61="Install WaterSense low-flow showerheads",B61="Install low-flow fixtures"),'Input-EWEMs'!AH53=0), K$26,"")</f>
        <v/>
      </c>
      <c r="L61" s="766"/>
      <c r="M61" s="768" t="str">
        <f>IF(AND(OR(B61="Replace dishwashers with ENERGY STAR certified",B61="Replace washing machines with ENERGY STAR certified"),OR('Input-EWEMs'!AH53=0, 'Input-EWEMs'!AJ53=0)), M$26,"")</f>
        <v/>
      </c>
      <c r="N61" s="768" t="str">
        <f>IF(AND(B61="Upgrade common area lighting",'Input-EWEMs'!N53=0,'Input-Utilities'!$E$10&gt;0),N$26,"")</f>
        <v/>
      </c>
      <c r="O61" s="768" t="str">
        <f>IF(AND(B61="Upgrade in-unit lighting",'Input-EWEMs'!Q53=0,'Input-Utilities'!$D$32="Tenant"),O$26,"")</f>
        <v/>
      </c>
      <c r="P61" s="768" t="str">
        <f>IF(AND(B61="Upgrade common area lighting",'Input-EWEMs'!G53="Apartments"),P$26,"")</f>
        <v/>
      </c>
      <c r="Q61" s="768" t="str">
        <f>IF(AND(B61="Upgrade in-unit lighting",'Input-EWEMs'!G53="Common area"),Q$26,"")</f>
        <v/>
      </c>
      <c r="R61" s="768" t="str">
        <f>IFERROR(IF('Input-EWEMs'!M53&gt;INDEX('Input-EWEMs'!M$12:M$41,MATCH(A61,'Input-EWEMs'!C$12:C$41,0)),R$26,""),"")</f>
        <v/>
      </c>
      <c r="S61" s="768" t="str">
        <f>IFERROR(IF('Input-EWEMs'!M53/'Input-EWEMs'!H53&lt;INDEX('QC Ranges'!C$19:C$29,MATCH(EWEMQC!B61,'QC Ranges'!$B$19:$B$29,0)),S$26,""),IFERROR(IF('Input-EWEMs'!M53/'Input-EWEMs'!I53&lt;INDEX('QC Ranges'!D$19:D$29,MATCH(EWEMQC!B61,'QC Ranges'!$B$19:$B$29,0)),S$26,""),""))</f>
        <v/>
      </c>
    </row>
    <row r="62" spans="1:19" x14ac:dyDescent="0.2">
      <c r="A62" s="766">
        <f>'Input-EWEMs'!C54</f>
        <v>0</v>
      </c>
      <c r="B62" s="766" t="str">
        <f>'Input-EWEMs'!E54</f>
        <v/>
      </c>
      <c r="C62" s="600" t="str">
        <f t="shared" ca="1" si="2"/>
        <v/>
      </c>
      <c r="D62" s="768" t="str">
        <f>IF('Input-EWEMs'!D54="","",IF(AND(B62&lt;&gt;MeasureList!$D$9,SUM('Input-EWEMs'!P54,'Input-EWEMs'!S54)=0),D$26,""))</f>
        <v/>
      </c>
      <c r="E62" s="768" t="str">
        <f>IF('Input-EWEMs'!D54="","",IF(AND(B62&lt;&gt;MeasureList!$D$9,SUM('Input-EWEMs'!AH54,'Input-EWEMs'!AJ54)=0),E$26,""))</f>
        <v/>
      </c>
      <c r="F62" s="768" t="str">
        <f>IF(OR('Input-EWEMs'!D54="",AND('Input-EWEMs'!K54&gt;0,'Input-EWEMs'!L54&gt;0)),"","Cost of material and/or labor not included in installation cost. ")</f>
        <v/>
      </c>
      <c r="G62" s="768" t="str">
        <f ca="1">IF('Input-EWEMs'!E54="","",IF(COUNTIF(MeasureList!$A$3:$N$24,'Input-EWEMs'!E54)&gt;0,IF(ISNUMBER(MATCH('Input-EWEMs'!E54,INDIRECT("MeasureList!"&amp;ADDRESS(1,MATCH('Input-EWEMs'!D54,MeasureList!A$1:'MeasureList'!N$1,0))):INDIRECT("MeasureList!"&amp;ADDRESS(24,MATCH('Input-EWEMs'!D54,MeasureList!A$1:'MeasureList'!N$1,0))),0)),"","Selected EWEM Type does not match EWEM Category. "),"Nonstandard EWEM type was entered - select best match from provided dropdown list. "))</f>
        <v/>
      </c>
      <c r="H62" s="768" t="str">
        <f>IF('Input-EWEMs'!D54="Water and sewer conservation",IF('Input-EWEMs'!W54=0,"No water savings for EWEM Category: Water and Sewer Conservation. ",""),"")</f>
        <v/>
      </c>
      <c r="I62" s="768" t="str">
        <f>IF('Input-EWEMs'!D54&lt;&gt;"Water and sewer conservation",IF(AND(OR('Input-EWEMs'!W54&gt;0,'Input-EWEMs'!O54&gt;0,'Input-EWEMs'!R54&gt;0),B62&lt;&gt;"Replace washing machines with ENERGY STAR certified", B62&lt;&gt;"Replace dishwashers with ENERGY STAR certified"),I$26,""),"")</f>
        <v/>
      </c>
      <c r="J62" s="768" t="str">
        <f>IF(AND('Input-EWEMs'!E54="Install WaterSense low-flush toilets",'Input-EWEMs'!AH54&gt;0),EWEMQC!J$26,"")</f>
        <v/>
      </c>
      <c r="K62" s="768" t="str">
        <f>IF(AND(OR(B62="Install WaterSense low-flow bath faucets/aerators",B62="Install low-flow kitchen faucets/aerators",B62="Install WaterSense low-flow showerheads",B62="Install low-flow fixtures"),'Input-EWEMs'!AH54=0), K$26,"")</f>
        <v/>
      </c>
      <c r="L62" s="766"/>
      <c r="M62" s="768" t="str">
        <f>IF(AND(OR(B62="Replace dishwashers with ENERGY STAR certified",B62="Replace washing machines with ENERGY STAR certified"),OR('Input-EWEMs'!AH54=0, 'Input-EWEMs'!AJ54=0)), M$26,"")</f>
        <v/>
      </c>
      <c r="N62" s="768" t="str">
        <f>IF(AND(B62="Upgrade common area lighting",'Input-EWEMs'!N54=0,'Input-Utilities'!$E$10&gt;0),N$26,"")</f>
        <v/>
      </c>
      <c r="O62" s="768" t="str">
        <f>IF(AND(B62="Upgrade in-unit lighting",'Input-EWEMs'!Q54=0,'Input-Utilities'!$D$32="Tenant"),O$26,"")</f>
        <v/>
      </c>
      <c r="P62" s="768" t="str">
        <f>IF(AND(B62="Upgrade common area lighting",'Input-EWEMs'!G54="Apartments"),P$26,"")</f>
        <v/>
      </c>
      <c r="Q62" s="768" t="str">
        <f>IF(AND(B62="Upgrade in-unit lighting",'Input-EWEMs'!G54="Common area"),Q$26,"")</f>
        <v/>
      </c>
      <c r="R62" s="768" t="str">
        <f>IFERROR(IF('Input-EWEMs'!M54&gt;INDEX('Input-EWEMs'!M$12:M$41,MATCH(A62,'Input-EWEMs'!C$12:C$41,0)),R$26,""),"")</f>
        <v/>
      </c>
      <c r="S62" s="768" t="str">
        <f>IFERROR(IF('Input-EWEMs'!M54/'Input-EWEMs'!H54&lt;INDEX('QC Ranges'!C$19:C$29,MATCH(EWEMQC!B62,'QC Ranges'!$B$19:$B$29,0)),S$26,""),IFERROR(IF('Input-EWEMs'!M54/'Input-EWEMs'!I54&lt;INDEX('QC Ranges'!D$19:D$29,MATCH(EWEMQC!B62,'QC Ranges'!$B$19:$B$29,0)),S$26,""),""))</f>
        <v/>
      </c>
    </row>
    <row r="63" spans="1:19" x14ac:dyDescent="0.2">
      <c r="A63" s="766">
        <f>'Input-EWEMs'!C55</f>
        <v>0</v>
      </c>
      <c r="B63" s="766" t="str">
        <f>'Input-EWEMs'!E55</f>
        <v/>
      </c>
      <c r="C63" s="600" t="str">
        <f t="shared" ca="1" si="2"/>
        <v/>
      </c>
      <c r="D63" s="768" t="str">
        <f>IF('Input-EWEMs'!D55="","",IF(AND(B63&lt;&gt;MeasureList!$D$9,SUM('Input-EWEMs'!P55,'Input-EWEMs'!S55)=0),D$26,""))</f>
        <v/>
      </c>
      <c r="E63" s="768" t="str">
        <f>IF('Input-EWEMs'!D55="","",IF(AND(B63&lt;&gt;MeasureList!$D$9,SUM('Input-EWEMs'!AH55,'Input-EWEMs'!AJ55)=0),E$26,""))</f>
        <v/>
      </c>
      <c r="F63" s="768" t="str">
        <f>IF(OR('Input-EWEMs'!D55="",AND('Input-EWEMs'!K55&gt;0,'Input-EWEMs'!L55&gt;0)),"","Cost of material and/or labor not included in installation cost. ")</f>
        <v/>
      </c>
      <c r="G63" s="768" t="str">
        <f ca="1">IF('Input-EWEMs'!E55="","",IF(COUNTIF(MeasureList!$A$3:$N$24,'Input-EWEMs'!E55)&gt;0,IF(ISNUMBER(MATCH('Input-EWEMs'!E55,INDIRECT("MeasureList!"&amp;ADDRESS(1,MATCH('Input-EWEMs'!D55,MeasureList!A$1:'MeasureList'!N$1,0))):INDIRECT("MeasureList!"&amp;ADDRESS(24,MATCH('Input-EWEMs'!D55,MeasureList!A$1:'MeasureList'!N$1,0))),0)),"","Selected EWEM Type does not match EWEM Category. "),"Nonstandard EWEM type was entered - select best match from provided dropdown list. "))</f>
        <v/>
      </c>
      <c r="H63" s="768" t="str">
        <f>IF('Input-EWEMs'!D55="Water and sewer conservation",IF('Input-EWEMs'!W55=0,"No water savings for EWEM Category: Water and Sewer Conservation. ",""),"")</f>
        <v/>
      </c>
      <c r="I63" s="768" t="str">
        <f>IF('Input-EWEMs'!D55&lt;&gt;"Water and sewer conservation",IF(AND(OR('Input-EWEMs'!W55&gt;0,'Input-EWEMs'!O55&gt;0,'Input-EWEMs'!R55&gt;0),B63&lt;&gt;"Replace washing machines with ENERGY STAR certified", B63&lt;&gt;"Replace dishwashers with ENERGY STAR certified"),I$26,""),"")</f>
        <v/>
      </c>
      <c r="J63" s="768" t="str">
        <f>IF(AND('Input-EWEMs'!E55="Install WaterSense low-flush toilets",'Input-EWEMs'!AH55&gt;0),EWEMQC!J$26,"")</f>
        <v/>
      </c>
      <c r="K63" s="768" t="str">
        <f>IF(AND(OR(B63="Install WaterSense low-flow bath faucets/aerators",B63="Install low-flow kitchen faucets/aerators",B63="Install WaterSense low-flow showerheads",B63="Install low-flow fixtures"),'Input-EWEMs'!AH55=0), K$26,"")</f>
        <v/>
      </c>
      <c r="L63" s="766"/>
      <c r="M63" s="768" t="str">
        <f>IF(AND(OR(B63="Replace dishwashers with ENERGY STAR certified",B63="Replace washing machines with ENERGY STAR certified"),OR('Input-EWEMs'!AH55=0, 'Input-EWEMs'!AJ55=0)), M$26,"")</f>
        <v/>
      </c>
      <c r="N63" s="768" t="str">
        <f>IF(AND(B63="Upgrade common area lighting",'Input-EWEMs'!N55=0,'Input-Utilities'!$E$10&gt;0),N$26,"")</f>
        <v/>
      </c>
      <c r="O63" s="768" t="str">
        <f>IF(AND(B63="Upgrade in-unit lighting",'Input-EWEMs'!Q55=0,'Input-Utilities'!$D$32="Tenant"),O$26,"")</f>
        <v/>
      </c>
      <c r="P63" s="768" t="str">
        <f>IF(AND(B63="Upgrade common area lighting",'Input-EWEMs'!G55="Apartments"),P$26,"")</f>
        <v/>
      </c>
      <c r="Q63" s="768" t="str">
        <f>IF(AND(B63="Upgrade in-unit lighting",'Input-EWEMs'!G55="Common area"),Q$26,"")</f>
        <v/>
      </c>
      <c r="R63" s="768" t="str">
        <f>IFERROR(IF('Input-EWEMs'!M55&gt;INDEX('Input-EWEMs'!M$12:M$41,MATCH(A63,'Input-EWEMs'!C$12:C$41,0)),R$26,""),"")</f>
        <v/>
      </c>
      <c r="S63" s="768" t="str">
        <f>IFERROR(IF('Input-EWEMs'!M55/'Input-EWEMs'!H55&lt;INDEX('QC Ranges'!C$19:C$29,MATCH(EWEMQC!B63,'QC Ranges'!$B$19:$B$29,0)),S$26,""),IFERROR(IF('Input-EWEMs'!M55/'Input-EWEMs'!I55&lt;INDEX('QC Ranges'!D$19:D$29,MATCH(EWEMQC!B63,'QC Ranges'!$B$19:$B$29,0)),S$26,""),""))</f>
        <v/>
      </c>
    </row>
    <row r="64" spans="1:19" x14ac:dyDescent="0.2">
      <c r="A64" s="766">
        <f>'Input-EWEMs'!C56</f>
        <v>0</v>
      </c>
      <c r="B64" s="766" t="str">
        <f>'Input-EWEMs'!E56</f>
        <v/>
      </c>
      <c r="C64" s="600" t="str">
        <f t="shared" ca="1" si="2"/>
        <v/>
      </c>
      <c r="D64" s="768" t="str">
        <f>IF('Input-EWEMs'!D56="","",IF(AND(B64&lt;&gt;MeasureList!$D$9,SUM('Input-EWEMs'!P56,'Input-EWEMs'!S56)=0),D$26,""))</f>
        <v/>
      </c>
      <c r="E64" s="768" t="str">
        <f>IF('Input-EWEMs'!D56="","",IF(AND(B64&lt;&gt;MeasureList!$D$9,SUM('Input-EWEMs'!AH56,'Input-EWEMs'!AJ56)=0),E$26,""))</f>
        <v/>
      </c>
      <c r="F64" s="768" t="str">
        <f>IF(OR('Input-EWEMs'!D56="",AND('Input-EWEMs'!K56&gt;0,'Input-EWEMs'!L56&gt;0)),"","Cost of material and/or labor not included in installation cost. ")</f>
        <v/>
      </c>
      <c r="G64" s="768" t="str">
        <f ca="1">IF('Input-EWEMs'!E56="","",IF(COUNTIF(MeasureList!$A$3:$N$24,'Input-EWEMs'!E56)&gt;0,IF(ISNUMBER(MATCH('Input-EWEMs'!E56,INDIRECT("MeasureList!"&amp;ADDRESS(1,MATCH('Input-EWEMs'!D56,MeasureList!A$1:'MeasureList'!N$1,0))):INDIRECT("MeasureList!"&amp;ADDRESS(24,MATCH('Input-EWEMs'!D56,MeasureList!A$1:'MeasureList'!N$1,0))),0)),"","Selected EWEM Type does not match EWEM Category. "),"Nonstandard EWEM type was entered - select best match from provided dropdown list. "))</f>
        <v/>
      </c>
      <c r="H64" s="768" t="str">
        <f>IF('Input-EWEMs'!D56="Water and sewer conservation",IF('Input-EWEMs'!W56=0,"No water savings for EWEM Category: Water and Sewer Conservation. ",""),"")</f>
        <v/>
      </c>
      <c r="I64" s="768" t="str">
        <f>IF('Input-EWEMs'!D56&lt;&gt;"Water and sewer conservation",IF(AND(OR('Input-EWEMs'!W56&gt;0,'Input-EWEMs'!O56&gt;0,'Input-EWEMs'!R56&gt;0),B64&lt;&gt;"Replace washing machines with ENERGY STAR certified", B64&lt;&gt;"Replace dishwashers with ENERGY STAR certified"),I$26,""),"")</f>
        <v/>
      </c>
      <c r="J64" s="768" t="str">
        <f>IF(AND('Input-EWEMs'!E56="Install WaterSense low-flush toilets",'Input-EWEMs'!AH56&gt;0),EWEMQC!J$26,"")</f>
        <v/>
      </c>
      <c r="K64" s="768" t="str">
        <f>IF(AND(OR(B64="Install WaterSense low-flow bath faucets/aerators",B64="Install low-flow kitchen faucets/aerators",B64="Install WaterSense low-flow showerheads",B64="Install low-flow fixtures"),'Input-EWEMs'!AH56=0), K$26,"")</f>
        <v/>
      </c>
      <c r="L64" s="766"/>
      <c r="M64" s="768" t="str">
        <f>IF(AND(OR(B64="Replace dishwashers with ENERGY STAR certified",B64="Replace washing machines with ENERGY STAR certified"),OR('Input-EWEMs'!AH56=0, 'Input-EWEMs'!AJ56=0)), M$26,"")</f>
        <v/>
      </c>
      <c r="N64" s="768" t="str">
        <f>IF(AND(B64="Upgrade common area lighting",'Input-EWEMs'!N56=0,'Input-Utilities'!$E$10&gt;0),N$26,"")</f>
        <v/>
      </c>
      <c r="O64" s="768" t="str">
        <f>IF(AND(B64="Upgrade in-unit lighting",'Input-EWEMs'!Q56=0,'Input-Utilities'!$D$32="Tenant"),O$26,"")</f>
        <v/>
      </c>
      <c r="P64" s="768" t="str">
        <f>IF(AND(B64="Upgrade common area lighting",'Input-EWEMs'!G56="Apartments"),P$26,"")</f>
        <v/>
      </c>
      <c r="Q64" s="768" t="str">
        <f>IF(AND(B64="Upgrade in-unit lighting",'Input-EWEMs'!G56="Common area"),Q$26,"")</f>
        <v/>
      </c>
      <c r="R64" s="768" t="str">
        <f>IFERROR(IF('Input-EWEMs'!M56&gt;INDEX('Input-EWEMs'!M$12:M$41,MATCH(A64,'Input-EWEMs'!C$12:C$41,0)),R$26,""),"")</f>
        <v/>
      </c>
      <c r="S64" s="768" t="str">
        <f>IFERROR(IF('Input-EWEMs'!M56/'Input-EWEMs'!H56&lt;INDEX('QC Ranges'!C$19:C$29,MATCH(EWEMQC!B64,'QC Ranges'!$B$19:$B$29,0)),S$26,""),IFERROR(IF('Input-EWEMs'!M56/'Input-EWEMs'!I56&lt;INDEX('QC Ranges'!D$19:D$29,MATCH(EWEMQC!B64,'QC Ranges'!$B$19:$B$29,0)),S$26,""),""))</f>
        <v/>
      </c>
    </row>
    <row r="65" spans="1:19" x14ac:dyDescent="0.2">
      <c r="A65" s="766">
        <f>'Input-EWEMs'!C57</f>
        <v>0</v>
      </c>
      <c r="B65" s="766" t="str">
        <f>'Input-EWEMs'!E57</f>
        <v/>
      </c>
      <c r="C65" s="600" t="str">
        <f t="shared" ca="1" si="2"/>
        <v/>
      </c>
      <c r="D65" s="768" t="str">
        <f>IF('Input-EWEMs'!D57="","",IF(AND(B65&lt;&gt;MeasureList!$D$9,SUM('Input-EWEMs'!P57,'Input-EWEMs'!S57)=0),D$26,""))</f>
        <v/>
      </c>
      <c r="E65" s="768" t="str">
        <f>IF('Input-EWEMs'!D57="","",IF(AND(B65&lt;&gt;MeasureList!$D$9,SUM('Input-EWEMs'!AH57,'Input-EWEMs'!AJ57)=0),E$26,""))</f>
        <v/>
      </c>
      <c r="F65" s="768" t="str">
        <f>IF(OR('Input-EWEMs'!D57="",AND('Input-EWEMs'!K57&gt;0,'Input-EWEMs'!L57&gt;0)),"","Cost of material and/or labor not included in installation cost. ")</f>
        <v/>
      </c>
      <c r="G65" s="768" t="str">
        <f ca="1">IF('Input-EWEMs'!E57="","",IF(COUNTIF(MeasureList!$A$3:$N$24,'Input-EWEMs'!E57)&gt;0,IF(ISNUMBER(MATCH('Input-EWEMs'!E57,INDIRECT("MeasureList!"&amp;ADDRESS(1,MATCH('Input-EWEMs'!D57,MeasureList!A$1:'MeasureList'!N$1,0))):INDIRECT("MeasureList!"&amp;ADDRESS(24,MATCH('Input-EWEMs'!D57,MeasureList!A$1:'MeasureList'!N$1,0))),0)),"","Selected EWEM Type does not match EWEM Category. "),"Nonstandard EWEM type was entered - select best match from provided dropdown list. "))</f>
        <v/>
      </c>
      <c r="H65" s="768" t="str">
        <f>IF('Input-EWEMs'!D57="Water and sewer conservation",IF('Input-EWEMs'!W57=0,"No water savings for EWEM Category: Water and Sewer Conservation. ",""),"")</f>
        <v/>
      </c>
      <c r="I65" s="768" t="str">
        <f>IF('Input-EWEMs'!D57&lt;&gt;"Water and sewer conservation",IF(AND(OR('Input-EWEMs'!W57&gt;0,'Input-EWEMs'!O57&gt;0,'Input-EWEMs'!R57&gt;0),B65&lt;&gt;"Replace washing machines with ENERGY STAR certified", B65&lt;&gt;"Replace dishwashers with ENERGY STAR certified"),I$26,""),"")</f>
        <v/>
      </c>
      <c r="J65" s="768" t="str">
        <f>IF(AND('Input-EWEMs'!E57="Install WaterSense low-flush toilets",'Input-EWEMs'!AH57&gt;0),EWEMQC!J$26,"")</f>
        <v/>
      </c>
      <c r="K65" s="768" t="str">
        <f>IF(AND(OR(B65="Install WaterSense low-flow bath faucets/aerators",B65="Install low-flow kitchen faucets/aerators",B65="Install WaterSense low-flow showerheads",B65="Install low-flow fixtures"),'Input-EWEMs'!AH57=0), K$26,"")</f>
        <v/>
      </c>
      <c r="L65" s="766"/>
      <c r="M65" s="768" t="str">
        <f>IF(AND(OR(B65="Replace dishwashers with ENERGY STAR certified",B65="Replace washing machines with ENERGY STAR certified"),OR('Input-EWEMs'!AH57=0, 'Input-EWEMs'!AJ57=0)), M$26,"")</f>
        <v/>
      </c>
      <c r="N65" s="768" t="str">
        <f>IF(AND(B65="Upgrade common area lighting",'Input-EWEMs'!N57=0,'Input-Utilities'!$E$10&gt;0),N$26,"")</f>
        <v/>
      </c>
      <c r="O65" s="768" t="str">
        <f>IF(AND(B65="Upgrade in-unit lighting",'Input-EWEMs'!Q57=0,'Input-Utilities'!$D$32="Tenant"),O$26,"")</f>
        <v/>
      </c>
      <c r="P65" s="768" t="str">
        <f>IF(AND(B65="Upgrade common area lighting",'Input-EWEMs'!G57="Apartments"),P$26,"")</f>
        <v/>
      </c>
      <c r="Q65" s="768" t="str">
        <f>IF(AND(B65="Upgrade in-unit lighting",'Input-EWEMs'!G57="Common area"),Q$26,"")</f>
        <v/>
      </c>
      <c r="R65" s="768" t="str">
        <f>IFERROR(IF('Input-EWEMs'!M57&gt;INDEX('Input-EWEMs'!M$12:M$41,MATCH(A65,'Input-EWEMs'!C$12:C$41,0)),R$26,""),"")</f>
        <v/>
      </c>
      <c r="S65" s="768" t="str">
        <f>IFERROR(IF('Input-EWEMs'!M57/'Input-EWEMs'!H57&lt;INDEX('QC Ranges'!C$19:C$29,MATCH(EWEMQC!B65,'QC Ranges'!$B$19:$B$29,0)),S$26,""),IFERROR(IF('Input-EWEMs'!M57/'Input-EWEMs'!I57&lt;INDEX('QC Ranges'!D$19:D$29,MATCH(EWEMQC!B65,'QC Ranges'!$B$19:$B$29,0)),S$26,""),""))</f>
        <v/>
      </c>
    </row>
    <row r="66" spans="1:19" x14ac:dyDescent="0.2">
      <c r="A66" s="766">
        <f>'Input-EWEMs'!C58</f>
        <v>0</v>
      </c>
      <c r="B66" s="766" t="str">
        <f>'Input-EWEMs'!E58</f>
        <v/>
      </c>
      <c r="C66" s="600" t="str">
        <f t="shared" ca="1" si="2"/>
        <v/>
      </c>
      <c r="D66" s="768" t="str">
        <f>IF('Input-EWEMs'!D58="","",IF(AND(B66&lt;&gt;MeasureList!$D$9,SUM('Input-EWEMs'!P58,'Input-EWEMs'!S58)=0),D$26,""))</f>
        <v/>
      </c>
      <c r="E66" s="768" t="str">
        <f>IF('Input-EWEMs'!D58="","",IF(AND(B66&lt;&gt;MeasureList!$D$9,SUM('Input-EWEMs'!AH58,'Input-EWEMs'!AJ58)=0),E$26,""))</f>
        <v/>
      </c>
      <c r="F66" s="768" t="str">
        <f>IF(OR('Input-EWEMs'!D58="",AND('Input-EWEMs'!K58&gt;0,'Input-EWEMs'!L58&gt;0)),"","Cost of material and/or labor not included in installation cost. ")</f>
        <v/>
      </c>
      <c r="G66" s="768" t="str">
        <f ca="1">IF('Input-EWEMs'!E58="","",IF(COUNTIF(MeasureList!$A$3:$N$24,'Input-EWEMs'!E58)&gt;0,IF(ISNUMBER(MATCH('Input-EWEMs'!E58,INDIRECT("MeasureList!"&amp;ADDRESS(1,MATCH('Input-EWEMs'!D58,MeasureList!A$1:'MeasureList'!N$1,0))):INDIRECT("MeasureList!"&amp;ADDRESS(24,MATCH('Input-EWEMs'!D58,MeasureList!A$1:'MeasureList'!N$1,0))),0)),"","Selected EWEM Type does not match EWEM Category. "),"Nonstandard EWEM type was entered - select best match from provided dropdown list. "))</f>
        <v/>
      </c>
      <c r="H66" s="768" t="str">
        <f>IF('Input-EWEMs'!D58="Water and sewer conservation",IF('Input-EWEMs'!W58=0,"No water savings for EWEM Category: Water and Sewer Conservation. ",""),"")</f>
        <v/>
      </c>
      <c r="I66" s="768" t="str">
        <f>IF('Input-EWEMs'!D58&lt;&gt;"Water and sewer conservation",IF(AND(OR('Input-EWEMs'!W58&gt;0,'Input-EWEMs'!O58&gt;0,'Input-EWEMs'!R58&gt;0),B66&lt;&gt;"Replace washing machines with ENERGY STAR certified", B66&lt;&gt;"Replace dishwashers with ENERGY STAR certified"),I$26,""),"")</f>
        <v/>
      </c>
      <c r="J66" s="768" t="str">
        <f>IF(AND('Input-EWEMs'!E58="Install WaterSense low-flush toilets",'Input-EWEMs'!AH58&gt;0),EWEMQC!J$26,"")</f>
        <v/>
      </c>
      <c r="K66" s="768" t="str">
        <f>IF(AND(OR(B66="Install WaterSense low-flow bath faucets/aerators",B66="Install low-flow kitchen faucets/aerators",B66="Install WaterSense low-flow showerheads",B66="Install low-flow fixtures"),'Input-EWEMs'!AH58=0), K$26,"")</f>
        <v/>
      </c>
      <c r="L66" s="766"/>
      <c r="M66" s="768" t="str">
        <f>IF(AND(OR(B66="Replace dishwashers with ENERGY STAR certified",B66="Replace washing machines with ENERGY STAR certified"),OR('Input-EWEMs'!AH58=0, 'Input-EWEMs'!AJ58=0)), M$26,"")</f>
        <v/>
      </c>
      <c r="N66" s="768" t="str">
        <f>IF(AND(B66="Upgrade common area lighting",'Input-EWEMs'!N58=0,'Input-Utilities'!$E$10&gt;0),N$26,"")</f>
        <v/>
      </c>
      <c r="O66" s="768" t="str">
        <f>IF(AND(B66="Upgrade in-unit lighting",'Input-EWEMs'!Q58=0,'Input-Utilities'!$D$32="Tenant"),O$26,"")</f>
        <v/>
      </c>
      <c r="P66" s="768" t="str">
        <f>IF(AND(B66="Upgrade common area lighting",'Input-EWEMs'!G58="Apartments"),P$26,"")</f>
        <v/>
      </c>
      <c r="Q66" s="768" t="str">
        <f>IF(AND(B66="Upgrade in-unit lighting",'Input-EWEMs'!G58="Common area"),Q$26,"")</f>
        <v/>
      </c>
      <c r="R66" s="768" t="str">
        <f>IFERROR(IF('Input-EWEMs'!M58&gt;INDEX('Input-EWEMs'!M$12:M$41,MATCH(A66,'Input-EWEMs'!C$12:C$41,0)),R$26,""),"")</f>
        <v/>
      </c>
      <c r="S66" s="768" t="str">
        <f>IFERROR(IF('Input-EWEMs'!M58/'Input-EWEMs'!H58&lt;INDEX('QC Ranges'!C$19:C$29,MATCH(EWEMQC!B66,'QC Ranges'!$B$19:$B$29,0)),S$26,""),IFERROR(IF('Input-EWEMs'!M58/'Input-EWEMs'!I58&lt;INDEX('QC Ranges'!D$19:D$29,MATCH(EWEMQC!B66,'QC Ranges'!$B$19:$B$29,0)),S$26,""),""))</f>
        <v/>
      </c>
    </row>
    <row r="67" spans="1:19" x14ac:dyDescent="0.2">
      <c r="A67" s="766">
        <f>'Input-EWEMs'!C59</f>
        <v>0</v>
      </c>
      <c r="B67" s="766" t="str">
        <f>'Input-EWEMs'!E59</f>
        <v/>
      </c>
      <c r="C67" s="600" t="str">
        <f t="shared" ca="1" si="2"/>
        <v/>
      </c>
      <c r="D67" s="768" t="str">
        <f>IF('Input-EWEMs'!D59="","",IF(AND(B67&lt;&gt;MeasureList!$D$9,SUM('Input-EWEMs'!P59,'Input-EWEMs'!S59)=0),D$26,""))</f>
        <v/>
      </c>
      <c r="E67" s="768" t="str">
        <f>IF('Input-EWEMs'!D59="","",IF(AND(B67&lt;&gt;MeasureList!$D$9,SUM('Input-EWEMs'!AH59,'Input-EWEMs'!AJ59)=0),E$26,""))</f>
        <v/>
      </c>
      <c r="F67" s="768" t="str">
        <f>IF(OR('Input-EWEMs'!D59="",AND('Input-EWEMs'!K59&gt;0,'Input-EWEMs'!L59&gt;0)),"","Cost of material and/or labor not included in installation cost. ")</f>
        <v/>
      </c>
      <c r="G67" s="768" t="str">
        <f ca="1">IF('Input-EWEMs'!E59="","",IF(COUNTIF(MeasureList!$A$3:$N$24,'Input-EWEMs'!E59)&gt;0,IF(ISNUMBER(MATCH('Input-EWEMs'!E59,INDIRECT("MeasureList!"&amp;ADDRESS(1,MATCH('Input-EWEMs'!D59,MeasureList!A$1:'MeasureList'!N$1,0))):INDIRECT("MeasureList!"&amp;ADDRESS(24,MATCH('Input-EWEMs'!D59,MeasureList!A$1:'MeasureList'!N$1,0))),0)),"","Selected EWEM Type does not match EWEM Category. "),"Nonstandard EWEM type was entered - select best match from provided dropdown list. "))</f>
        <v/>
      </c>
      <c r="H67" s="768" t="str">
        <f>IF('Input-EWEMs'!D59="Water and sewer conservation",IF('Input-EWEMs'!W59=0,"No water savings for EWEM Category: Water and Sewer Conservation. ",""),"")</f>
        <v/>
      </c>
      <c r="I67" s="768" t="str">
        <f>IF('Input-EWEMs'!D59&lt;&gt;"Water and sewer conservation",IF(AND(OR('Input-EWEMs'!W59&gt;0,'Input-EWEMs'!O59&gt;0,'Input-EWEMs'!R59&gt;0),B67&lt;&gt;"Replace washing machines with ENERGY STAR certified", B67&lt;&gt;"Replace dishwashers with ENERGY STAR certified"),I$26,""),"")</f>
        <v/>
      </c>
      <c r="J67" s="768" t="str">
        <f>IF(AND('Input-EWEMs'!E59="Install WaterSense low-flush toilets",'Input-EWEMs'!AH59&gt;0),EWEMQC!J$26,"")</f>
        <v/>
      </c>
      <c r="K67" s="768" t="str">
        <f>IF(AND(OR(B67="Install WaterSense low-flow bath faucets/aerators",B67="Install low-flow kitchen faucets/aerators",B67="Install WaterSense low-flow showerheads",B67="Install low-flow fixtures"),'Input-EWEMs'!AH59=0), K$26,"")</f>
        <v/>
      </c>
      <c r="L67" s="766"/>
      <c r="M67" s="768" t="str">
        <f>IF(AND(OR(B67="Replace dishwashers with ENERGY STAR certified",B67="Replace washing machines with ENERGY STAR certified"),OR('Input-EWEMs'!AH59=0, 'Input-EWEMs'!AJ59=0)), M$26,"")</f>
        <v/>
      </c>
      <c r="N67" s="768" t="str">
        <f>IF(AND(B67="Upgrade common area lighting",'Input-EWEMs'!N59=0,'Input-Utilities'!$E$10&gt;0),N$26,"")</f>
        <v/>
      </c>
      <c r="O67" s="768" t="str">
        <f>IF(AND(B67="Upgrade in-unit lighting",'Input-EWEMs'!Q59=0,'Input-Utilities'!$D$32="Tenant"),O$26,"")</f>
        <v/>
      </c>
      <c r="P67" s="768" t="str">
        <f>IF(AND(B67="Upgrade common area lighting",'Input-EWEMs'!G59="Apartments"),P$26,"")</f>
        <v/>
      </c>
      <c r="Q67" s="768" t="str">
        <f>IF(AND(B67="Upgrade in-unit lighting",'Input-EWEMs'!G59="Common area"),Q$26,"")</f>
        <v/>
      </c>
      <c r="R67" s="768" t="str">
        <f>IFERROR(IF('Input-EWEMs'!M59&gt;INDEX('Input-EWEMs'!M$12:M$41,MATCH(A67,'Input-EWEMs'!C$12:C$41,0)),R$26,""),"")</f>
        <v/>
      </c>
      <c r="S67" s="768" t="str">
        <f>IFERROR(IF('Input-EWEMs'!M59/'Input-EWEMs'!H59&lt;INDEX('QC Ranges'!C$19:C$29,MATCH(EWEMQC!B67,'QC Ranges'!$B$19:$B$29,0)),S$26,""),IFERROR(IF('Input-EWEMs'!M59/'Input-EWEMs'!I59&lt;INDEX('QC Ranges'!D$19:D$29,MATCH(EWEMQC!B67,'QC Ranges'!$B$19:$B$29,0)),S$26,""),""))</f>
        <v/>
      </c>
    </row>
    <row r="68" spans="1:19" x14ac:dyDescent="0.2">
      <c r="A68" s="766">
        <f>'Input-EWEMs'!C60</f>
        <v>0</v>
      </c>
      <c r="B68" s="766" t="str">
        <f>'Input-EWEMs'!E60</f>
        <v/>
      </c>
      <c r="C68" s="600" t="str">
        <f t="shared" ca="1" si="2"/>
        <v/>
      </c>
      <c r="D68" s="768" t="str">
        <f>IF('Input-EWEMs'!D60="","",IF(AND(B68&lt;&gt;MeasureList!$D$9,SUM('Input-EWEMs'!P60,'Input-EWEMs'!S60)=0),D$26,""))</f>
        <v/>
      </c>
      <c r="E68" s="768" t="str">
        <f>IF('Input-EWEMs'!D60="","",IF(AND(B68&lt;&gt;MeasureList!$D$9,SUM('Input-EWEMs'!AH60,'Input-EWEMs'!AJ60)=0),E$26,""))</f>
        <v/>
      </c>
      <c r="F68" s="768" t="str">
        <f>IF(OR('Input-EWEMs'!D60="",AND('Input-EWEMs'!K60&gt;0,'Input-EWEMs'!L60&gt;0)),"","Cost of material and/or labor not included in installation cost. ")</f>
        <v/>
      </c>
      <c r="G68" s="768" t="str">
        <f ca="1">IF('Input-EWEMs'!E60="","",IF(COUNTIF(MeasureList!$A$3:$N$24,'Input-EWEMs'!E60)&gt;0,IF(ISNUMBER(MATCH('Input-EWEMs'!E60,INDIRECT("MeasureList!"&amp;ADDRESS(1,MATCH('Input-EWEMs'!D60,MeasureList!A$1:'MeasureList'!N$1,0))):INDIRECT("MeasureList!"&amp;ADDRESS(24,MATCH('Input-EWEMs'!D60,MeasureList!A$1:'MeasureList'!N$1,0))),0)),"","Selected EWEM Type does not match EWEM Category. "),"Nonstandard EWEM type was entered - select best match from provided dropdown list. "))</f>
        <v/>
      </c>
      <c r="H68" s="768" t="str">
        <f>IF('Input-EWEMs'!D60="Water and sewer conservation",IF('Input-EWEMs'!W60=0,"No water savings for EWEM Category: Water and Sewer Conservation. ",""),"")</f>
        <v/>
      </c>
      <c r="I68" s="768" t="str">
        <f>IF('Input-EWEMs'!D60&lt;&gt;"Water and sewer conservation",IF(AND(OR('Input-EWEMs'!W60&gt;0,'Input-EWEMs'!O60&gt;0,'Input-EWEMs'!R60&gt;0),B68&lt;&gt;"Replace washing machines with ENERGY STAR certified", B68&lt;&gt;"Replace dishwashers with ENERGY STAR certified"),I$26,""),"")</f>
        <v/>
      </c>
      <c r="J68" s="768" t="str">
        <f>IF(AND('Input-EWEMs'!E60="Install WaterSense low-flush toilets",'Input-EWEMs'!AH60&gt;0),EWEMQC!J$26,"")</f>
        <v/>
      </c>
      <c r="K68" s="768" t="str">
        <f>IF(AND(OR(B68="Install WaterSense low-flow bath faucets/aerators",B68="Install low-flow kitchen faucets/aerators",B68="Install WaterSense low-flow showerheads",B68="Install low-flow fixtures"),'Input-EWEMs'!AH60=0), K$26,"")</f>
        <v/>
      </c>
      <c r="L68" s="766"/>
      <c r="M68" s="768" t="str">
        <f>IF(AND(OR(B68="Replace dishwashers with ENERGY STAR certified",B68="Replace washing machines with ENERGY STAR certified"),OR('Input-EWEMs'!AH60=0, 'Input-EWEMs'!AJ60=0)), M$26,"")</f>
        <v/>
      </c>
      <c r="N68" s="768" t="str">
        <f>IF(AND(B68="Upgrade common area lighting",'Input-EWEMs'!N60=0,'Input-Utilities'!$E$10&gt;0),N$26,"")</f>
        <v/>
      </c>
      <c r="O68" s="768" t="str">
        <f>IF(AND(B68="Upgrade in-unit lighting",'Input-EWEMs'!Q60=0,'Input-Utilities'!$D$32="Tenant"),O$26,"")</f>
        <v/>
      </c>
      <c r="P68" s="768" t="str">
        <f>IF(AND(B68="Upgrade common area lighting",'Input-EWEMs'!G60="Apartments"),P$26,"")</f>
        <v/>
      </c>
      <c r="Q68" s="768" t="str">
        <f>IF(AND(B68="Upgrade in-unit lighting",'Input-EWEMs'!G60="Common area"),Q$26,"")</f>
        <v/>
      </c>
      <c r="R68" s="768" t="str">
        <f>IFERROR(IF('Input-EWEMs'!M60&gt;INDEX('Input-EWEMs'!M$12:M$41,MATCH(A68,'Input-EWEMs'!C$12:C$41,0)),R$26,""),"")</f>
        <v/>
      </c>
      <c r="S68" s="768" t="str">
        <f>IFERROR(IF('Input-EWEMs'!M60/'Input-EWEMs'!H60&lt;INDEX('QC Ranges'!C$19:C$29,MATCH(EWEMQC!B68,'QC Ranges'!$B$19:$B$29,0)),S$26,""),IFERROR(IF('Input-EWEMs'!M60/'Input-EWEMs'!I60&lt;INDEX('QC Ranges'!D$19:D$29,MATCH(EWEMQC!B68,'QC Ranges'!$B$19:$B$29,0)),S$26,""),""))</f>
        <v/>
      </c>
    </row>
    <row r="69" spans="1:19" x14ac:dyDescent="0.2">
      <c r="A69" s="766">
        <f>'Input-EWEMs'!C61</f>
        <v>0</v>
      </c>
      <c r="B69" s="766" t="str">
        <f>'Input-EWEMs'!E61</f>
        <v/>
      </c>
      <c r="C69" s="600" t="str">
        <f t="shared" ca="1" si="2"/>
        <v/>
      </c>
      <c r="D69" s="768" t="str">
        <f>IF('Input-EWEMs'!D61="","",IF(AND(B69&lt;&gt;MeasureList!$D$9,SUM('Input-EWEMs'!P61,'Input-EWEMs'!S61)=0),D$26,""))</f>
        <v/>
      </c>
      <c r="E69" s="768" t="str">
        <f>IF('Input-EWEMs'!D61="","",IF(AND(B69&lt;&gt;MeasureList!$D$9,SUM('Input-EWEMs'!AH61,'Input-EWEMs'!AJ61)=0),E$26,""))</f>
        <v/>
      </c>
      <c r="F69" s="768" t="str">
        <f>IF(OR('Input-EWEMs'!D61="",AND('Input-EWEMs'!K61&gt;0,'Input-EWEMs'!L61&gt;0)),"","Cost of material and/or labor not included in installation cost. ")</f>
        <v/>
      </c>
      <c r="G69" s="768" t="str">
        <f ca="1">IF('Input-EWEMs'!E61="","",IF(COUNTIF(MeasureList!$A$3:$N$24,'Input-EWEMs'!E61)&gt;0,IF(ISNUMBER(MATCH('Input-EWEMs'!E61,INDIRECT("MeasureList!"&amp;ADDRESS(1,MATCH('Input-EWEMs'!D61,MeasureList!A$1:'MeasureList'!N$1,0))):INDIRECT("MeasureList!"&amp;ADDRESS(24,MATCH('Input-EWEMs'!D61,MeasureList!A$1:'MeasureList'!N$1,0))),0)),"","Selected EWEM Type does not match EWEM Category. "),"Nonstandard EWEM type was entered - select best match from provided dropdown list. "))</f>
        <v/>
      </c>
      <c r="H69" s="768" t="str">
        <f>IF('Input-EWEMs'!D61="Water and sewer conservation",IF('Input-EWEMs'!W61=0,"No water savings for EWEM Category: Water and Sewer Conservation. ",""),"")</f>
        <v/>
      </c>
      <c r="I69" s="768" t="str">
        <f>IF('Input-EWEMs'!D61&lt;&gt;"Water and sewer conservation",IF(AND(OR('Input-EWEMs'!W61&gt;0,'Input-EWEMs'!O61&gt;0,'Input-EWEMs'!R61&gt;0),B69&lt;&gt;"Replace washing machines with ENERGY STAR certified", B69&lt;&gt;"Replace dishwashers with ENERGY STAR certified"),I$26,""),"")</f>
        <v/>
      </c>
      <c r="J69" s="768" t="str">
        <f>IF(AND('Input-EWEMs'!E61="Install WaterSense low-flush toilets",'Input-EWEMs'!AH61&gt;0),EWEMQC!J$26,"")</f>
        <v/>
      </c>
      <c r="K69" s="768" t="str">
        <f>IF(AND(OR(B69="Install WaterSense low-flow bath faucets/aerators",B69="Install low-flow kitchen faucets/aerators",B69="Install WaterSense low-flow showerheads",B69="Install low-flow fixtures"),'Input-EWEMs'!AH61=0), K$26,"")</f>
        <v/>
      </c>
      <c r="L69" s="766"/>
      <c r="M69" s="768" t="str">
        <f>IF(AND(OR(B69="Replace dishwashers with ENERGY STAR certified",B69="Replace washing machines with ENERGY STAR certified"),OR('Input-EWEMs'!AH61=0, 'Input-EWEMs'!AJ61=0)), M$26,"")</f>
        <v/>
      </c>
      <c r="N69" s="768" t="str">
        <f>IF(AND(B69="Upgrade common area lighting",'Input-EWEMs'!N61=0,'Input-Utilities'!$E$10&gt;0),N$26,"")</f>
        <v/>
      </c>
      <c r="O69" s="768" t="str">
        <f>IF(AND(B69="Upgrade in-unit lighting",'Input-EWEMs'!Q61=0,'Input-Utilities'!$D$32="Tenant"),O$26,"")</f>
        <v/>
      </c>
      <c r="P69" s="768" t="str">
        <f>IF(AND(B69="Upgrade common area lighting",'Input-EWEMs'!G61="Apartments"),P$26,"")</f>
        <v/>
      </c>
      <c r="Q69" s="768" t="str">
        <f>IF(AND(B69="Upgrade in-unit lighting",'Input-EWEMs'!G61="Common area"),Q$26,"")</f>
        <v/>
      </c>
      <c r="R69" s="768" t="str">
        <f>IFERROR(IF('Input-EWEMs'!M61&gt;INDEX('Input-EWEMs'!M$12:M$41,MATCH(A69,'Input-EWEMs'!C$12:C$41,0)),R$26,""),"")</f>
        <v/>
      </c>
      <c r="S69" s="768" t="str">
        <f>IFERROR(IF('Input-EWEMs'!M61/'Input-EWEMs'!H61&lt;INDEX('QC Ranges'!C$19:C$29,MATCH(EWEMQC!B69,'QC Ranges'!$B$19:$B$29,0)),S$26,""),IFERROR(IF('Input-EWEMs'!M61/'Input-EWEMs'!I61&lt;INDEX('QC Ranges'!D$19:D$29,MATCH(EWEMQC!B69,'QC Ranges'!$B$19:$B$29,0)),S$26,""),""))</f>
        <v/>
      </c>
    </row>
  </sheetData>
  <pageMargins left="0.7" right="0.7" top="0.75" bottom="0.75" header="0.3" footer="0.3"/>
  <pageSetup orientation="portrait" verticalDpi="300" r:id="rId1"/>
  <headerFooter>
    <oddFooter>&amp;L_x000D_&amp;1#&amp;"Calibri"&amp;10&amp;K000000 Fannie Mae Confidential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autoPageBreaks="0"/>
  </sheetPr>
  <dimension ref="A1:L53"/>
  <sheetViews>
    <sheetView showGridLines="0" zoomScale="90" zoomScaleNormal="90" workbookViewId="0"/>
  </sheetViews>
  <sheetFormatPr baseColWidth="10" defaultColWidth="9.33203125" defaultRowHeight="15" x14ac:dyDescent="0.2"/>
  <cols>
    <col min="1" max="2" width="2.33203125" style="92" customWidth="1"/>
    <col min="3" max="3" width="34.33203125" style="92" customWidth="1"/>
    <col min="4" max="7" width="18.6640625" style="92" customWidth="1"/>
    <col min="8" max="8" width="3.33203125" style="92" customWidth="1"/>
    <col min="9" max="9" width="49.33203125" style="92" customWidth="1"/>
    <col min="10" max="10" width="16.33203125" style="92" customWidth="1"/>
    <col min="11" max="11" width="10.33203125" style="92" customWidth="1"/>
    <col min="12" max="12" width="21.5" style="92" customWidth="1"/>
    <col min="13" max="13" width="11.6640625" style="92" customWidth="1"/>
    <col min="14" max="14" width="11.33203125" style="92" customWidth="1"/>
    <col min="15" max="16384" width="9.33203125" style="92"/>
  </cols>
  <sheetData>
    <row r="1" spans="2:12" ht="23.25" customHeight="1" x14ac:dyDescent="0.2">
      <c r="B1" s="90" t="s">
        <v>1</v>
      </c>
      <c r="C1" s="91"/>
      <c r="D1" s="91"/>
      <c r="E1" s="91"/>
      <c r="F1" s="91"/>
      <c r="G1" s="91"/>
      <c r="H1" s="91"/>
      <c r="I1" s="91"/>
      <c r="L1" s="91"/>
    </row>
    <row r="2" spans="2:12" ht="15" customHeight="1" x14ac:dyDescent="0.2">
      <c r="C2" s="91"/>
      <c r="D2" s="91"/>
      <c r="E2" s="91"/>
      <c r="F2" s="91"/>
      <c r="G2" s="91"/>
      <c r="H2" s="91"/>
      <c r="I2" s="91"/>
    </row>
    <row r="3" spans="2:12" ht="25" x14ac:dyDescent="0.3">
      <c r="B3" s="107" t="s">
        <v>224</v>
      </c>
      <c r="G3" s="91"/>
    </row>
    <row r="4" spans="2:12" ht="16.5" customHeight="1" x14ac:dyDescent="0.2">
      <c r="B4" s="108" t="s">
        <v>225</v>
      </c>
      <c r="G4" s="91"/>
    </row>
    <row r="5" spans="2:12" ht="15.75" customHeight="1" x14ac:dyDescent="0.2">
      <c r="C5" s="206"/>
      <c r="D5" s="206"/>
      <c r="E5" s="206"/>
      <c r="G5" s="91"/>
    </row>
    <row r="6" spans="2:12" ht="22.5" customHeight="1" thickBot="1" x14ac:dyDescent="0.3">
      <c r="B6" s="207" t="s">
        <v>226</v>
      </c>
      <c r="C6" s="94"/>
      <c r="D6" s="94"/>
      <c r="E6" s="94"/>
      <c r="F6" s="94"/>
      <c r="G6" s="94"/>
    </row>
    <row r="7" spans="2:12" ht="22.5" customHeight="1" x14ac:dyDescent="0.3">
      <c r="C7" s="208"/>
    </row>
    <row r="8" spans="2:12" s="114" customFormat="1" ht="20" customHeight="1" x14ac:dyDescent="0.2">
      <c r="C8" s="209" t="s">
        <v>227</v>
      </c>
      <c r="D8" s="854" t="s">
        <v>1020</v>
      </c>
      <c r="E8" s="854"/>
    </row>
    <row r="9" spans="2:12" s="114" customFormat="1" ht="9.75" customHeight="1" x14ac:dyDescent="0.2"/>
    <row r="10" spans="2:12" s="114" customFormat="1" ht="20" customHeight="1" x14ac:dyDescent="0.2">
      <c r="C10" s="209" t="s">
        <v>228</v>
      </c>
      <c r="D10" s="854" t="s">
        <v>313</v>
      </c>
      <c r="E10" s="854"/>
      <c r="F10" s="856" t="s">
        <v>1021</v>
      </c>
      <c r="G10" s="857"/>
      <c r="H10" s="857"/>
    </row>
    <row r="11" spans="2:12" s="114" customFormat="1" ht="9.75" customHeight="1" x14ac:dyDescent="0.2">
      <c r="D11" s="210"/>
    </row>
    <row r="12" spans="2:12" s="114" customFormat="1" ht="19.5" customHeight="1" x14ac:dyDescent="0.2">
      <c r="C12" s="744" t="s">
        <v>229</v>
      </c>
      <c r="D12" s="211">
        <v>45204</v>
      </c>
    </row>
    <row r="13" spans="2:12" s="114" customFormat="1" ht="19.5" customHeight="1" x14ac:dyDescent="0.2">
      <c r="C13" s="117" t="s">
        <v>230</v>
      </c>
      <c r="D13" s="212">
        <v>45231</v>
      </c>
    </row>
    <row r="14" spans="2:12" s="114" customFormat="1" ht="9.75" customHeight="1" x14ac:dyDescent="0.2">
      <c r="D14" s="210"/>
    </row>
    <row r="15" spans="2:12" s="114" customFormat="1" ht="19.5" customHeight="1" x14ac:dyDescent="0.2">
      <c r="C15" s="117" t="s">
        <v>231</v>
      </c>
      <c r="D15" s="213">
        <v>45245</v>
      </c>
    </row>
    <row r="16" spans="2:12" s="114" customFormat="1" ht="19.5" customHeight="1" x14ac:dyDescent="0.2">
      <c r="C16" s="119" t="s">
        <v>232</v>
      </c>
      <c r="D16" s="214"/>
    </row>
    <row r="17" spans="2:7" s="114" customFormat="1" ht="19.5" customHeight="1" x14ac:dyDescent="0.2">
      <c r="C17" s="119" t="s">
        <v>233</v>
      </c>
      <c r="D17" s="214"/>
    </row>
    <row r="18" spans="2:7" ht="19.5" customHeight="1" x14ac:dyDescent="0.2">
      <c r="C18" s="119" t="s">
        <v>234</v>
      </c>
      <c r="D18" s="214"/>
    </row>
    <row r="19" spans="2:7" s="114" customFormat="1" ht="19.5" customHeight="1" x14ac:dyDescent="0.2">
      <c r="C19" s="119" t="s">
        <v>235</v>
      </c>
      <c r="D19" s="212"/>
    </row>
    <row r="21" spans="2:7" ht="24" customHeight="1" thickBot="1" x14ac:dyDescent="0.3">
      <c r="B21" s="207" t="s">
        <v>236</v>
      </c>
      <c r="C21" s="94"/>
      <c r="D21" s="94"/>
      <c r="E21" s="94"/>
      <c r="F21" s="94"/>
      <c r="G21" s="94"/>
    </row>
    <row r="22" spans="2:7" ht="22.5" customHeight="1" x14ac:dyDescent="0.3">
      <c r="C22" s="208"/>
      <c r="D22" s="215"/>
    </row>
    <row r="23" spans="2:7" s="114" customFormat="1" ht="20" customHeight="1" x14ac:dyDescent="0.2">
      <c r="C23" s="209" t="s">
        <v>237</v>
      </c>
      <c r="D23" s="216" t="s">
        <v>1022</v>
      </c>
    </row>
    <row r="24" spans="2:7" s="114" customFormat="1" ht="19.5" customHeight="1" x14ac:dyDescent="0.2">
      <c r="C24" s="209" t="s">
        <v>238</v>
      </c>
      <c r="D24" s="217" t="s">
        <v>1023</v>
      </c>
    </row>
    <row r="25" spans="2:7" s="114" customFormat="1" ht="19.5" customHeight="1" x14ac:dyDescent="0.2">
      <c r="C25" s="209" t="s">
        <v>239</v>
      </c>
      <c r="D25" s="217" t="s">
        <v>769</v>
      </c>
    </row>
    <row r="26" spans="2:7" s="114" customFormat="1" ht="19.5" customHeight="1" x14ac:dyDescent="0.2">
      <c r="C26" s="209" t="s">
        <v>240</v>
      </c>
      <c r="D26" s="218" t="s">
        <v>1024</v>
      </c>
      <c r="F26" s="92"/>
    </row>
    <row r="27" spans="2:7" s="114" customFormat="1" ht="10.5" customHeight="1" x14ac:dyDescent="0.2">
      <c r="D27" s="219"/>
      <c r="F27" s="92"/>
    </row>
    <row r="28" spans="2:7" s="114" customFormat="1" ht="19.5" customHeight="1" x14ac:dyDescent="0.2">
      <c r="C28" s="209" t="s">
        <v>241</v>
      </c>
      <c r="D28" s="216">
        <v>1995</v>
      </c>
    </row>
    <row r="29" spans="2:7" s="114" customFormat="1" ht="33" customHeight="1" x14ac:dyDescent="0.2">
      <c r="C29" s="220" t="s">
        <v>242</v>
      </c>
      <c r="D29" s="221"/>
    </row>
    <row r="30" spans="2:7" s="114" customFormat="1" ht="9.75" customHeight="1" x14ac:dyDescent="0.2">
      <c r="D30" s="210"/>
    </row>
    <row r="31" spans="2:7" s="114" customFormat="1" ht="18.75" customHeight="1" x14ac:dyDescent="0.2">
      <c r="C31" s="209" t="s">
        <v>243</v>
      </c>
      <c r="D31" s="216">
        <v>11</v>
      </c>
    </row>
    <row r="32" spans="2:7" s="114" customFormat="1" ht="19.5" customHeight="1" x14ac:dyDescent="0.2">
      <c r="C32" s="209" t="s">
        <v>244</v>
      </c>
      <c r="D32" s="222">
        <v>130633</v>
      </c>
    </row>
    <row r="33" spans="1:11" s="114" customFormat="1" ht="19.5" customHeight="1" x14ac:dyDescent="0.2">
      <c r="C33" s="209" t="s">
        <v>245</v>
      </c>
      <c r="D33" s="223">
        <v>118206</v>
      </c>
    </row>
    <row r="34" spans="1:11" s="114" customFormat="1" ht="15.75" customHeight="1" x14ac:dyDescent="0.2">
      <c r="K34" s="224"/>
    </row>
    <row r="35" spans="1:11" s="114" customFormat="1" ht="23.25" customHeight="1" thickBot="1" x14ac:dyDescent="0.3">
      <c r="A35" s="92"/>
      <c r="B35" s="207" t="s">
        <v>246</v>
      </c>
      <c r="C35" s="94"/>
      <c r="D35" s="94"/>
      <c r="E35" s="94"/>
      <c r="F35" s="94"/>
      <c r="G35" s="94"/>
      <c r="K35" s="224"/>
    </row>
    <row r="36" spans="1:11" s="114" customFormat="1" ht="22.5" customHeight="1" x14ac:dyDescent="0.2">
      <c r="K36" s="224"/>
    </row>
    <row r="37" spans="1:11" s="225" customFormat="1" ht="20" customHeight="1" x14ac:dyDescent="0.15">
      <c r="C37" s="209" t="s">
        <v>247</v>
      </c>
      <c r="D37" s="226">
        <v>12</v>
      </c>
    </row>
    <row r="38" spans="1:11" s="225" customFormat="1" ht="20" customHeight="1" x14ac:dyDescent="0.15">
      <c r="C38" s="209" t="s">
        <v>248</v>
      </c>
      <c r="D38" s="217">
        <v>11</v>
      </c>
    </row>
    <row r="39" spans="1:11" s="227" customFormat="1" ht="20" customHeight="1" x14ac:dyDescent="0.15">
      <c r="C39" s="209" t="s">
        <v>249</v>
      </c>
      <c r="D39" s="217">
        <v>29</v>
      </c>
      <c r="F39" s="228"/>
      <c r="H39" s="225"/>
      <c r="I39" s="225"/>
      <c r="J39" s="225"/>
    </row>
    <row r="40" spans="1:11" ht="20" customHeight="1" x14ac:dyDescent="0.2">
      <c r="C40" s="209" t="s">
        <v>250</v>
      </c>
      <c r="D40" s="217">
        <v>54</v>
      </c>
      <c r="E40" s="209" t="s">
        <v>251</v>
      </c>
      <c r="F40" s="216">
        <v>181</v>
      </c>
    </row>
    <row r="41" spans="1:11" ht="20" customHeight="1" x14ac:dyDescent="0.2">
      <c r="C41" s="229" t="s">
        <v>252</v>
      </c>
      <c r="D41" s="230">
        <v>23</v>
      </c>
      <c r="E41" s="231" t="s">
        <v>253</v>
      </c>
      <c r="F41" s="230">
        <v>54</v>
      </c>
    </row>
    <row r="42" spans="1:11" ht="20" customHeight="1" x14ac:dyDescent="0.2">
      <c r="C42" s="209" t="s">
        <v>254</v>
      </c>
      <c r="D42" s="232">
        <f>SUM(D37:D41)</f>
        <v>129</v>
      </c>
      <c r="E42" s="209" t="s">
        <v>255</v>
      </c>
      <c r="F42" s="232">
        <f>SUM(F40:F41)</f>
        <v>235</v>
      </c>
    </row>
    <row r="43" spans="1:11" ht="20" customHeight="1" x14ac:dyDescent="0.2">
      <c r="C43" s="209" t="s">
        <v>256</v>
      </c>
      <c r="D43" s="233">
        <f>D37+D38+D39*2+D40*3+D41*4</f>
        <v>335</v>
      </c>
    </row>
    <row r="44" spans="1:11" ht="12" customHeight="1" x14ac:dyDescent="0.2">
      <c r="D44" s="234"/>
    </row>
    <row r="45" spans="1:11" ht="20" customHeight="1" thickBot="1" x14ac:dyDescent="0.25">
      <c r="C45" s="209" t="s">
        <v>257</v>
      </c>
      <c r="D45" s="235">
        <v>0.97</v>
      </c>
      <c r="E45" s="225"/>
      <c r="F45" s="225"/>
      <c r="G45" s="225"/>
      <c r="H45" s="225"/>
      <c r="I45" s="236" t="s">
        <v>258</v>
      </c>
    </row>
    <row r="46" spans="1:11" ht="12.75" customHeight="1" thickTop="1" x14ac:dyDescent="0.2">
      <c r="I46" s="855" t="str">
        <f>IF(D45="","",IF(D45&lt;0.85, "Please confirm that this property has been at stabilized occupancy for at least 12 months. This property may not be eligible for Green Rewards. ",""))</f>
        <v/>
      </c>
    </row>
    <row r="47" spans="1:11" x14ac:dyDescent="0.2">
      <c r="C47" s="237"/>
      <c r="D47" s="238" t="s">
        <v>259</v>
      </c>
      <c r="E47" s="239" t="s">
        <v>260</v>
      </c>
      <c r="I47" s="852"/>
    </row>
    <row r="48" spans="1:11" x14ac:dyDescent="0.2">
      <c r="C48" s="209" t="s">
        <v>261</v>
      </c>
      <c r="D48" s="240">
        <f>MROUND((D42+D43-D37)*D45, 1)</f>
        <v>438</v>
      </c>
      <c r="E48" s="241"/>
      <c r="I48" s="852"/>
    </row>
    <row r="49" spans="3:9" ht="10.5" customHeight="1" x14ac:dyDescent="0.2">
      <c r="I49" s="852"/>
    </row>
    <row r="50" spans="3:9" x14ac:dyDescent="0.2">
      <c r="D50" s="242" t="s">
        <v>262</v>
      </c>
      <c r="E50" s="243"/>
      <c r="F50" s="243"/>
      <c r="G50" s="244"/>
      <c r="I50" s="852"/>
    </row>
    <row r="51" spans="3:9" x14ac:dyDescent="0.2">
      <c r="D51" s="830"/>
      <c r="E51" s="831"/>
      <c r="F51" s="831"/>
      <c r="G51" s="832"/>
      <c r="I51" s="852"/>
    </row>
    <row r="52" spans="3:9" x14ac:dyDescent="0.2">
      <c r="I52" s="852" t="str">
        <f>IF(D53="","",IF(D53&lt;Assumptions!C78, "Number of units sampled is below minimum required sample size (see Form 4099). ",""))</f>
        <v/>
      </c>
    </row>
    <row r="53" spans="3:9" ht="20" customHeight="1" x14ac:dyDescent="0.2">
      <c r="C53" s="209" t="s">
        <v>263</v>
      </c>
      <c r="D53" s="245">
        <v>15</v>
      </c>
      <c r="I53" s="853"/>
    </row>
  </sheetData>
  <sheetProtection algorithmName="SHA-512" hashValue="fbxCrAB7Lt35tI/eTgPh1/907Yky2FXoHSo5Sa/V3zaAelYQATi9vPL2u2vkM/EAbDXMwzOzw64xgpMuAyX+Fw==" saltValue="l5EQCs/ZmTrWolHmD1yB9w==" spinCount="100000" sheet="1" objects="1" scenarios="1"/>
  <mergeCells count="6">
    <mergeCell ref="I52:I53"/>
    <mergeCell ref="D51:G51"/>
    <mergeCell ref="D10:E10"/>
    <mergeCell ref="D8:E8"/>
    <mergeCell ref="I46:I51"/>
    <mergeCell ref="F10:H10"/>
  </mergeCells>
  <conditionalFormatting sqref="D8 D10 D15 D23:D26 D28 D31:D32 D37:D41 D45">
    <cfRule type="expression" dxfId="42" priority="17">
      <formula>D8=""</formula>
    </cfRule>
  </conditionalFormatting>
  <conditionalFormatting sqref="D12:D13">
    <cfRule type="expression" dxfId="41" priority="11">
      <formula>D12=""</formula>
    </cfRule>
  </conditionalFormatting>
  <conditionalFormatting sqref="D51">
    <cfRule type="expression" dxfId="40" priority="22">
      <formula>AND($E48&lt;&gt;"",$D$51="")</formula>
    </cfRule>
  </conditionalFormatting>
  <conditionalFormatting sqref="D53">
    <cfRule type="expression" dxfId="39" priority="5">
      <formula>D53=""</formula>
    </cfRule>
  </conditionalFormatting>
  <conditionalFormatting sqref="F10">
    <cfRule type="expression" dxfId="38" priority="3">
      <formula>$D$10&lt;&gt;"OTHER"</formula>
    </cfRule>
  </conditionalFormatting>
  <conditionalFormatting sqref="F40:F41">
    <cfRule type="expression" dxfId="37" priority="6">
      <formula>F40=""</formula>
    </cfRule>
  </conditionalFormatting>
  <conditionalFormatting sqref="F10:H10">
    <cfRule type="expression" dxfId="36" priority="1">
      <formula>F10&lt;&gt;""</formula>
    </cfRule>
    <cfRule type="expression" dxfId="35" priority="2">
      <formula>AND($D$10="OTHER",OR($F$10="",$F$10="(Enter Consultant Name)"))</formula>
    </cfRule>
  </conditionalFormatting>
  <dataValidations count="8">
    <dataValidation type="date" allowBlank="1" showInputMessage="1" showErrorMessage="1" sqref="D12:D13 D15:D19" xr:uid="{00000000-0002-0000-0500-000001000000}">
      <formula1>42005</formula1>
      <formula2>46388</formula2>
    </dataValidation>
    <dataValidation type="whole" allowBlank="1" showInputMessage="1" showErrorMessage="1" sqref="D28:D29" xr:uid="{00000000-0002-0000-0500-000002000000}">
      <formula1>1700</formula1>
      <formula2>2050</formula2>
    </dataValidation>
    <dataValidation type="whole" operator="greaterThanOrEqual" allowBlank="1" showInputMessage="1" showErrorMessage="1" error="Number of full baths cannot be fewer than the number of units at the property." sqref="F40" xr:uid="{00000000-0002-0000-0500-000003000000}">
      <formula1>D42</formula1>
    </dataValidation>
    <dataValidation type="whole" operator="greaterThanOrEqual" allowBlank="1" showInputMessage="1" showErrorMessage="1" sqref="F41 D37:D41 D31:D32" xr:uid="{00000000-0002-0000-0500-000004000000}">
      <formula1>0</formula1>
    </dataValidation>
    <dataValidation type="textLength" operator="equal" allowBlank="1" showInputMessage="1" showErrorMessage="1" error="Enter a valid 5-digit zip code." sqref="D26" xr:uid="{00000000-0002-0000-0500-000005000000}">
      <formula1>5</formula1>
    </dataValidation>
    <dataValidation type="whole" allowBlank="1" showInputMessage="1" showErrorMessage="1" error="Number of units sampled cannot be greater than total number of units." sqref="D53" xr:uid="{00000000-0002-0000-0500-000006000000}">
      <formula1>0</formula1>
      <formula2>D42</formula2>
    </dataValidation>
    <dataValidation type="decimal" operator="greaterThan" allowBlank="1" showInputMessage="1" showErrorMessage="1" sqref="D45 E48" xr:uid="{00000000-0002-0000-0500-000007000000}">
      <formula1>0</formula1>
    </dataValidation>
    <dataValidation type="whole" operator="lessThanOrEqual" allowBlank="1" showInputMessage="1" showErrorMessage="1" error="Rentable Square Footage cannot be greater than Gross Square Footage." sqref="D33" xr:uid="{00000000-0002-0000-0500-000008000000}">
      <formula1>D32</formula1>
    </dataValidation>
  </dataValidations>
  <pageMargins left="0.7" right="0.7" top="0.75" bottom="0.75" header="0.3" footer="0.3"/>
  <pageSetup paperSize="5" scale="84" orientation="landscape" r:id="rId1"/>
  <headerFooter>
    <oddFooter>&amp;L&amp;"Source Sans Pro,Regular"&amp;8© 2023 Fannie Mae. Trademarks of Fannie Mae._x000D_&amp;1#&amp;"Calibri"&amp;10&amp;K000000 Fannie Mae Confidential&amp;C&amp;"Source Sans Pro,Regular"&amp;8Form 4099.H - October 2023&amp;R&amp;"Source Sans Pro,Regular"&amp;8Page &amp;P of &amp;N</oddFooter>
  </headerFooter>
  <colBreaks count="1" manualBreakCount="1">
    <brk id="8" max="51" man="1"/>
  </colBreaks>
  <extLst>
    <ext xmlns:x14="http://schemas.microsoft.com/office/spreadsheetml/2009/9/main" uri="{CCE6A557-97BC-4b89-ADB6-D9C93CAAB3DF}">
      <x14:dataValidations xmlns:xm="http://schemas.microsoft.com/office/excel/2006/main" count="2">
        <x14:dataValidation type="list" operator="equal" allowBlank="1" showInputMessage="1" showErrorMessage="1" error="Please use two-letter state abbreviation." xr:uid="{00000000-0002-0000-0500-000000000000}">
          <x14:formula1>
            <xm:f>Dropdowns!$T$3:$T$57</xm:f>
          </x14:formula1>
          <xm:sqref>D25</xm:sqref>
        </x14:dataValidation>
        <x14:dataValidation type="list" allowBlank="1" showInputMessage="1" showErrorMessage="1" xr:uid="{50C4A63D-DBB4-4423-A3FC-D740F7C87337}">
          <x14:formula1>
            <xm:f>Dropdowns!$S$3:$S$11</xm:f>
          </x14:formula1>
          <xm:sqref>D10:E10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autoPageBreaks="0"/>
  </sheetPr>
  <dimension ref="B1:P54"/>
  <sheetViews>
    <sheetView showGridLines="0" zoomScale="90" zoomScaleNormal="90" workbookViewId="0"/>
  </sheetViews>
  <sheetFormatPr baseColWidth="10" defaultColWidth="9.33203125" defaultRowHeight="15" x14ac:dyDescent="0.2"/>
  <cols>
    <col min="1" max="2" width="2.33203125" style="92" customWidth="1"/>
    <col min="3" max="3" width="16.6640625" style="92" customWidth="1"/>
    <col min="4" max="5" width="13.6640625" style="92" customWidth="1"/>
    <col min="6" max="6" width="16.33203125" style="92" customWidth="1"/>
    <col min="7" max="12" width="13.6640625" style="92" customWidth="1"/>
    <col min="13" max="13" width="13.6640625" style="92" hidden="1" customWidth="1"/>
    <col min="14" max="14" width="13.6640625" style="92" customWidth="1"/>
    <col min="15" max="15" width="3.33203125" style="92" customWidth="1"/>
    <col min="16" max="16" width="75" style="92" customWidth="1"/>
    <col min="17" max="18" width="12" style="92" bestFit="1" customWidth="1"/>
    <col min="19" max="16384" width="9.33203125" style="92"/>
  </cols>
  <sheetData>
    <row r="1" spans="2:16" ht="23.25" customHeight="1" x14ac:dyDescent="0.2">
      <c r="B1" s="90" t="s">
        <v>1</v>
      </c>
      <c r="C1" s="91"/>
      <c r="D1" s="91"/>
      <c r="E1" s="91"/>
      <c r="F1" s="91"/>
      <c r="G1" s="91"/>
      <c r="H1" s="91"/>
      <c r="I1" s="91"/>
    </row>
    <row r="2" spans="2:16" ht="15" customHeight="1" x14ac:dyDescent="0.2">
      <c r="C2" s="91"/>
      <c r="D2" s="91"/>
      <c r="E2" s="91"/>
      <c r="F2" s="91"/>
      <c r="G2" s="91"/>
      <c r="H2" s="91"/>
      <c r="I2" s="91"/>
      <c r="J2" s="91"/>
      <c r="K2" s="91"/>
      <c r="L2" s="91"/>
      <c r="M2" s="91"/>
      <c r="N2" s="91"/>
    </row>
    <row r="3" spans="2:16" ht="25" x14ac:dyDescent="0.3">
      <c r="B3" s="107" t="s">
        <v>264</v>
      </c>
      <c r="G3" s="91"/>
    </row>
    <row r="4" spans="2:16" ht="28.5" customHeight="1" x14ac:dyDescent="0.2">
      <c r="B4" s="877" t="s">
        <v>265</v>
      </c>
      <c r="C4" s="877"/>
      <c r="D4" s="877"/>
      <c r="E4" s="877"/>
      <c r="F4" s="877"/>
      <c r="G4" s="877"/>
      <c r="H4" s="877"/>
      <c r="I4" s="877"/>
      <c r="J4" s="877"/>
      <c r="K4" s="877"/>
      <c r="L4" s="877"/>
      <c r="M4" s="877"/>
      <c r="N4" s="877"/>
    </row>
    <row r="5" spans="2:16" ht="21" customHeight="1" x14ac:dyDescent="0.2">
      <c r="G5" s="91"/>
      <c r="P5" s="246"/>
    </row>
    <row r="6" spans="2:16" ht="19" thickBot="1" x14ac:dyDescent="0.3">
      <c r="B6" s="207" t="s">
        <v>266</v>
      </c>
      <c r="C6" s="94"/>
      <c r="D6" s="94"/>
      <c r="E6" s="94"/>
      <c r="F6" s="94"/>
      <c r="G6" s="94"/>
      <c r="H6" s="94"/>
      <c r="I6" s="94"/>
      <c r="J6" s="94"/>
      <c r="K6" s="94"/>
      <c r="L6" s="94"/>
      <c r="M6" s="94"/>
      <c r="N6" s="94"/>
      <c r="P6" s="247"/>
    </row>
    <row r="7" spans="2:16" ht="17.25" customHeight="1" x14ac:dyDescent="0.2">
      <c r="C7" s="248"/>
      <c r="D7" s="215"/>
      <c r="E7" s="215"/>
      <c r="F7" s="215"/>
      <c r="G7" s="215"/>
      <c r="H7" s="249"/>
      <c r="I7" s="250"/>
      <c r="J7" s="251"/>
      <c r="K7" s="251"/>
      <c r="L7" s="251"/>
      <c r="M7" s="251"/>
      <c r="N7" s="251"/>
      <c r="P7" s="247"/>
    </row>
    <row r="8" spans="2:16" ht="13.5" customHeight="1" x14ac:dyDescent="0.2">
      <c r="C8" s="878" t="s">
        <v>267</v>
      </c>
      <c r="D8" s="880" t="s">
        <v>268</v>
      </c>
      <c r="E8" s="881"/>
      <c r="F8" s="882"/>
      <c r="G8" s="883" t="s">
        <v>269</v>
      </c>
      <c r="H8" s="884"/>
      <c r="I8" s="884"/>
      <c r="J8" s="883" t="s">
        <v>270</v>
      </c>
      <c r="K8" s="884"/>
      <c r="L8" s="884"/>
      <c r="M8" s="884"/>
      <c r="N8" s="885"/>
      <c r="P8" s="886" t="s">
        <v>258</v>
      </c>
    </row>
    <row r="9" spans="2:16" ht="24.75" customHeight="1" thickBot="1" x14ac:dyDescent="0.25">
      <c r="C9" s="879"/>
      <c r="D9" s="252" t="s">
        <v>271</v>
      </c>
      <c r="E9" s="253" t="s">
        <v>272</v>
      </c>
      <c r="F9" s="254" t="s">
        <v>273</v>
      </c>
      <c r="G9" s="255" t="s">
        <v>271</v>
      </c>
      <c r="H9" s="256" t="s">
        <v>272</v>
      </c>
      <c r="I9" s="257" t="s">
        <v>273</v>
      </c>
      <c r="J9" s="252" t="s">
        <v>272</v>
      </c>
      <c r="K9" s="257" t="s">
        <v>273</v>
      </c>
      <c r="L9" s="716" t="s">
        <v>274</v>
      </c>
      <c r="M9" s="716" t="s">
        <v>275</v>
      </c>
      <c r="N9" s="258" t="s">
        <v>276</v>
      </c>
      <c r="P9" s="887" t="s">
        <v>258</v>
      </c>
    </row>
    <row r="10" spans="2:16" ht="27" customHeight="1" thickTop="1" x14ac:dyDescent="0.2">
      <c r="C10" s="259" t="s">
        <v>117</v>
      </c>
      <c r="D10" s="260">
        <v>193611</v>
      </c>
      <c r="E10" s="261">
        <v>1845295</v>
      </c>
      <c r="F10" s="262" t="s">
        <v>277</v>
      </c>
      <c r="G10" s="263">
        <v>0</v>
      </c>
      <c r="H10" s="264">
        <v>0</v>
      </c>
      <c r="I10" s="262" t="s">
        <v>277</v>
      </c>
      <c r="J10" s="265">
        <f>SUM(E10,H10)</f>
        <v>1845295</v>
      </c>
      <c r="K10" s="266" t="s">
        <v>277</v>
      </c>
      <c r="L10" s="717">
        <f>IFERROR(J10*INDEX(Assumptions!$H$6:$H$17,MATCH('Input-Utilities'!F10,Assumptions!$C$6:$C$17,0)),"")</f>
        <v>1517846.5712984635</v>
      </c>
      <c r="M10" s="717">
        <f>IFERROR(J10*INDEX(Assumptions!$F$6:$F$17,MATCH('Input-Utilities'!F10,Assumptions!$C$6:$C$17,0))/1000,"")</f>
        <v>17629210.311999995</v>
      </c>
      <c r="N10" s="718">
        <f>IFERROR(J10*INDEX(Assumptions!$D$6:$D$17,MATCH('Input-Utilities'!F10,Assumptions!$C$6:$C$17,0))/1000,"")</f>
        <v>6296146.54</v>
      </c>
      <c r="P10" s="268" t="str">
        <f>IFERROR(IF(D10/E10&lt;'QC Ranges'!D3, "Owner "&amp;C10&amp;" rate (cost per "&amp;F10&amp;") is less than expected range. ", IF(D10/E10&gt;'QC Ranges'!E3, "Owner "&amp;C10&amp;" rate (cost per "&amp;F10&amp;") is greater than expected range. ", "")),"")&amp;IFERROR(IF(G10/H10&lt;'QC Ranges'!D3, "Tenant "&amp;C10&amp;" rate (cost per "&amp;F10&amp;") is less than expected range. ", IF(G10/H10&gt;'QC Ranges'!E3, "Tenant "&amp;C10&amp;" rate (cost per "&amp;F10&amp;") is greater than expected range. ", "")),"")</f>
        <v/>
      </c>
    </row>
    <row r="11" spans="2:16" ht="24" customHeight="1" x14ac:dyDescent="0.2">
      <c r="C11" s="269" t="s">
        <v>119</v>
      </c>
      <c r="D11" s="260">
        <v>16794</v>
      </c>
      <c r="E11" s="261">
        <v>21867</v>
      </c>
      <c r="F11" s="270" t="s">
        <v>666</v>
      </c>
      <c r="G11" s="263">
        <v>0</v>
      </c>
      <c r="H11" s="271">
        <v>0</v>
      </c>
      <c r="I11" s="272" t="str">
        <f>IF($F11="","",$F11)</f>
        <v>therms gas</v>
      </c>
      <c r="J11" s="265">
        <f>SUM(E11,H11)</f>
        <v>21867</v>
      </c>
      <c r="K11" s="273" t="str">
        <f>IF($F11="","",$F11)</f>
        <v>therms gas</v>
      </c>
      <c r="L11" s="717">
        <f>IFERROR(J11*INDEX(Assumptions!$H$6:$H$17,MATCH('Input-Utilities'!F11,Assumptions!$C$6:$C$17,0)),"")</f>
        <v>256035.25231830892</v>
      </c>
      <c r="M11" s="717">
        <f>IFERROR(J11*INDEX(Assumptions!$F$6:$F$17,MATCH('Input-Utilities'!F11,Assumptions!$C$6:$C$17,0))/1000,"")</f>
        <v>2296035</v>
      </c>
      <c r="N11" s="267">
        <f>IFERROR(J11*INDEX(Assumptions!$D$6:$D$17,MATCH('Input-Utilities'!F11,Assumptions!$C$6:$C$17,0))/1000,"")</f>
        <v>2186700</v>
      </c>
      <c r="P11" s="755" t="str">
        <f>IF(OR(C11="n/a", C11=""), "", IFERROR(IF(D11/(INDEX(Assumptions!$D$6:$D$16,MATCH($F11,Assumptions!$C$6:$C$16,0))*E11)&lt;INDEX('QC Ranges'!$D$4:$D$9,MATCH(C11,'QC Ranges'!$B$4:$B$9,0)), "Owner "&amp;C11&amp;" rate (cost per "&amp;F11&amp;") is less than expected range. ", IF(D11/(INDEX(Assumptions!$D$6:$D$16,MATCH($F11,Assumptions!$C$6:$C$16,0))*E11)&gt;INDEX('QC Ranges'!$E$4:$E$9,MATCH(C11,'QC Ranges'!$B$4:$B$9,0)), "Owner "&amp;C11&amp;" rate (cost per "&amp;F11&amp;") is greater than expected range. ", "")),"")&amp;IFERROR(IF(G11/(INDEX(Assumptions!$D$6:$D$16,MATCH($F11,Assumptions!$C$6:$C$16,0))*H11)&lt;INDEX('QC Ranges'!$D$4:$D$9,MATCH(C11,'QC Ranges'!$B$4:$B$9,0)), "Tenant "&amp;C11&amp;" rate (cost per "&amp;F11&amp;") is less than expected range. ", IF(G11/(INDEX(Assumptions!$D$6:$D$16,MATCH($F11,Assumptions!$C$6:$C$16,0))*H11)&gt;INDEX('QC Ranges'!$E$4:$E$9,MATCH(C11,'QC Ranges'!$B$4:$B$9,0)), "Tenant "&amp;C11&amp;" rate (cost per "&amp;F11&amp;") is greater than expected range. ", "")),""))&amp;IF(OR(F11="",AND(OR(C11="",C11="n/a"),F11="n/a")),"",IF(IFERROR(INDEX(Assumptions!B$6:B$23,MATCH('Input-Utilities'!F11,Assumptions!C$6:C$23,0))&lt;&gt;C11,TRUE),"Unit of consumption does not match utility type. ",""))</f>
        <v/>
      </c>
    </row>
    <row r="12" spans="2:16" ht="27" customHeight="1" x14ac:dyDescent="0.2">
      <c r="C12" s="269" t="s">
        <v>279</v>
      </c>
      <c r="D12" s="260"/>
      <c r="E12" s="261"/>
      <c r="F12" s="270"/>
      <c r="G12" s="263"/>
      <c r="H12" s="271"/>
      <c r="I12" s="272" t="str">
        <f t="shared" ref="I12:I13" si="0">IF($F12="","",$F12)</f>
        <v/>
      </c>
      <c r="J12" s="265">
        <f t="shared" ref="J12:J13" si="1">SUM(E12,H12)</f>
        <v>0</v>
      </c>
      <c r="K12" s="273" t="str">
        <f t="shared" ref="K12" si="2">IF($F12="","",$F12)</f>
        <v/>
      </c>
      <c r="L12" s="717" t="str">
        <f>IFERROR(J12*INDEX(Assumptions!$H$6:$H$17,MATCH('Input-Utilities'!F12,Assumptions!$C$6:$C$17,0)),"")</f>
        <v/>
      </c>
      <c r="M12" s="717" t="str">
        <f>IFERROR(J12*INDEX(Assumptions!$F$6:$F$17,MATCH('Input-Utilities'!F12,Assumptions!$C$6:$C$17,0))/1000,"")</f>
        <v/>
      </c>
      <c r="N12" s="267" t="str">
        <f>IFERROR(J12*INDEX(Assumptions!$D$6:$D$17,MATCH('Input-Utilities'!F12,Assumptions!$C$6:$C$17,0))/1000,"")</f>
        <v/>
      </c>
      <c r="P12" s="755" t="str">
        <f>IF(OR(C12="n/a", C12=""), "", IFERROR(IF(D12/(INDEX(Assumptions!$D$6:$D$16,MATCH($F12,Assumptions!$C$6:$C$16,0))*E12)&lt;INDEX('QC Ranges'!$D$4:$D$9,MATCH(C12,'QC Ranges'!$B$4:$B$9,0)), "Owner "&amp;C12&amp;" rate (cost per "&amp;F12&amp;") is less than expected range. ", IF(D12/(INDEX(Assumptions!$D$6:$D$16,MATCH($F12,Assumptions!$C$6:$C$16,0))*E12)&gt;INDEX('QC Ranges'!$E$4:$E$9,MATCH(C12,'QC Ranges'!$B$4:$B$9,0)), "Owner "&amp;C12&amp;" rate (cost per "&amp;F12&amp;") is greater than expected range. ", "")),"")&amp;IFERROR(IF(G12/(INDEX(Assumptions!$D$6:$D$16,MATCH($F12,Assumptions!$C$6:$C$16,0))*H12)&lt;INDEX('QC Ranges'!$D$4:$D$9,MATCH(C12,'QC Ranges'!$B$4:$B$9,0)), "Tenant "&amp;C12&amp;" rate (cost per "&amp;F12&amp;") is less than expected range. ", IF(G12/(INDEX(Assumptions!$D$6:$D$16,MATCH($F12,Assumptions!$C$6:$C$16,0))*H12)&gt;INDEX('QC Ranges'!$E$4:$E$9,MATCH(C12,'QC Ranges'!$B$4:$B$9,0)), "Tenant "&amp;C12&amp;" rate (cost per "&amp;F12&amp;") is greater than expected range. ", "")),""))&amp;IF(OR(F12="",AND(OR(C12="",C12="n/a"),F12="n/a")),"",IF(IFERROR(INDEX(Assumptions!B$6:B$23,MATCH('Input-Utilities'!F12,Assumptions!C$6:C$23,0))&lt;&gt;C12,TRUE),"Unit of consumption does not match utility type. ",""))</f>
        <v/>
      </c>
    </row>
    <row r="13" spans="2:16" ht="26.25" customHeight="1" x14ac:dyDescent="0.2">
      <c r="C13" s="274" t="s">
        <v>278</v>
      </c>
      <c r="D13" s="260">
        <v>0</v>
      </c>
      <c r="E13" s="275">
        <v>0</v>
      </c>
      <c r="F13" s="276" t="s">
        <v>683</v>
      </c>
      <c r="G13" s="277">
        <v>33952.93</v>
      </c>
      <c r="H13" s="278">
        <v>7637734</v>
      </c>
      <c r="I13" s="279" t="str">
        <f t="shared" si="0"/>
        <v>Gal</v>
      </c>
      <c r="J13" s="265">
        <f t="shared" si="1"/>
        <v>7637734</v>
      </c>
      <c r="K13" s="280" t="str">
        <f>IF($F13="","",$F13)</f>
        <v>Gal</v>
      </c>
      <c r="L13" s="715"/>
      <c r="M13" s="715" t="s">
        <v>279</v>
      </c>
      <c r="N13" s="281" t="s">
        <v>279</v>
      </c>
      <c r="P13" s="756" t="str">
        <f>IFERROR(IF(D13/(INDEX(Assumptions!$D$20:$D$23,MATCH($F13,Assumptions!$C$20:$C$23,0))*E13)&lt;'QC Ranges'!D10, "Owner "&amp;C13&amp;" rate (cost per "&amp;F13&amp;") is less than expected range. ", IF(D13/(INDEX(Assumptions!$D$20:$D$23,MATCH($F13,Assumptions!$C$20:$C$23,0))*E13)&gt;'QC Ranges'!E10, "Owner "&amp;C13&amp;" rate (cost per "&amp;F13&amp;") is greater than expected range. ", "")),"")&amp;IFERROR(IF(G13/(INDEX(Assumptions!$D$20:$D$23,MATCH($F13,Assumptions!$C$20:$C$23,0))*H13)&lt;'QC Ranges'!D10, "Tenant "&amp;C13&amp;" rate (cost per "&amp;F13&amp;") is less than expected range. ", IF(G13/(INDEX(Assumptions!$D$20:$D$23,MATCH($F13,Assumptions!$C$20:$C$23,0))*H13)&gt;'QC Ranges'!E10, "Tenant "&amp;C13&amp;" rate (cost per "&amp;F13&amp;") is greater than expected range. ", "")),"")</f>
        <v/>
      </c>
    </row>
    <row r="14" spans="2:16" ht="19.5" customHeight="1" x14ac:dyDescent="0.2">
      <c r="C14" s="282"/>
      <c r="D14" s="283">
        <f>SUM(D10:D13)</f>
        <v>210405</v>
      </c>
      <c r="E14" s="284"/>
      <c r="F14" s="285"/>
      <c r="G14" s="286">
        <f>SUM(G10:G13)</f>
        <v>33952.93</v>
      </c>
      <c r="H14" s="284"/>
      <c r="I14" s="287"/>
      <c r="J14" s="875" t="s">
        <v>280</v>
      </c>
      <c r="K14" s="876"/>
      <c r="L14" s="749"/>
      <c r="M14" s="288">
        <f>SUM(M10:M12)</f>
        <v>19925245.311999995</v>
      </c>
      <c r="N14" s="288">
        <f>SUM(N10:N12)</f>
        <v>8482846.5399999991</v>
      </c>
      <c r="P14" s="756" t="str">
        <f>IFERROR(IF(G14/'Input-Property'!D42/12&gt;'QC Ranges'!E11, "Average monthly tenant utility bill is $"&amp;MROUND(G14/'Input-Property'!D42/12,1)&amp;" per unit. ",""),"")</f>
        <v/>
      </c>
    </row>
    <row r="15" spans="2:16" ht="19.5" customHeight="1" x14ac:dyDescent="0.2">
      <c r="C15" s="289"/>
      <c r="D15" s="290"/>
      <c r="E15" s="291"/>
      <c r="F15" s="292"/>
      <c r="G15" s="293"/>
      <c r="J15" s="875" t="s">
        <v>281</v>
      </c>
      <c r="K15" s="876"/>
      <c r="L15" s="749"/>
      <c r="M15" s="749"/>
      <c r="N15" s="288">
        <f>IFERROR(J13*INDEX(Assumptions!$D$20:$D$23,MATCH('Input-Utilities'!F13,Assumptions!$C$20:$C$23,0))/1000,"")</f>
        <v>7637.7340000000004</v>
      </c>
      <c r="P15" s="294"/>
    </row>
    <row r="16" spans="2:16" ht="19.5" customHeight="1" x14ac:dyDescent="0.2">
      <c r="C16" s="289"/>
      <c r="D16" s="290"/>
      <c r="E16" s="291"/>
      <c r="F16" s="292"/>
      <c r="G16" s="293"/>
      <c r="J16" s="875" t="s">
        <v>282</v>
      </c>
      <c r="K16" s="876"/>
      <c r="L16" s="719">
        <f>SUM(L10:L12)</f>
        <v>1773881.8236167724</v>
      </c>
      <c r="M16" s="719"/>
      <c r="N16" s="288"/>
      <c r="P16" s="294"/>
    </row>
    <row r="17" spans="2:16" ht="19.5" customHeight="1" x14ac:dyDescent="0.2">
      <c r="C17" s="295" t="s">
        <v>283</v>
      </c>
      <c r="D17" s="290"/>
      <c r="F17" s="292"/>
      <c r="G17" s="293"/>
      <c r="P17" s="294"/>
    </row>
    <row r="18" spans="2:16" ht="26.25" customHeight="1" thickBot="1" x14ac:dyDescent="0.25">
      <c r="C18" s="754" t="s">
        <v>284</v>
      </c>
      <c r="D18" s="296" t="s">
        <v>285</v>
      </c>
      <c r="E18" s="889" t="s">
        <v>286</v>
      </c>
      <c r="F18" s="890"/>
      <c r="G18" s="889" t="s">
        <v>287</v>
      </c>
      <c r="H18" s="890"/>
      <c r="I18" s="889" t="s">
        <v>288</v>
      </c>
      <c r="J18" s="890"/>
      <c r="P18" s="294"/>
    </row>
    <row r="19" spans="2:16" ht="27" customHeight="1" thickTop="1" x14ac:dyDescent="0.2">
      <c r="C19" s="297"/>
      <c r="D19" s="298"/>
      <c r="E19" s="299"/>
      <c r="F19" s="300" t="s">
        <v>289</v>
      </c>
      <c r="G19" s="299"/>
      <c r="H19" s="300" t="s">
        <v>277</v>
      </c>
      <c r="I19" s="301"/>
      <c r="J19" s="300" t="s">
        <v>277</v>
      </c>
      <c r="P19" s="294"/>
    </row>
    <row r="20" spans="2:16" ht="26.25" customHeight="1" x14ac:dyDescent="0.2">
      <c r="C20" s="289"/>
      <c r="D20" s="290"/>
      <c r="E20" s="291"/>
      <c r="F20" s="292"/>
      <c r="J20" s="302"/>
      <c r="K20" s="303"/>
      <c r="L20" s="303"/>
      <c r="M20" s="303"/>
      <c r="N20" s="304"/>
      <c r="P20" s="294"/>
    </row>
    <row r="21" spans="2:16" ht="19.5" customHeight="1" thickBot="1" x14ac:dyDescent="0.3">
      <c r="B21" s="207" t="s">
        <v>290</v>
      </c>
      <c r="C21" s="305"/>
      <c r="D21" s="306"/>
      <c r="E21" s="307"/>
      <c r="F21" s="308"/>
      <c r="G21" s="309"/>
      <c r="H21" s="94"/>
      <c r="I21" s="94"/>
      <c r="J21" s="310"/>
      <c r="K21" s="310"/>
      <c r="L21" s="310"/>
      <c r="M21" s="310"/>
      <c r="N21" s="311"/>
      <c r="P21" s="294"/>
    </row>
    <row r="22" spans="2:16" ht="19.5" customHeight="1" x14ac:dyDescent="0.2">
      <c r="C22" s="289"/>
      <c r="D22" s="290"/>
      <c r="E22" s="291"/>
      <c r="F22" s="292"/>
      <c r="J22" s="303"/>
      <c r="K22" s="304"/>
      <c r="L22" s="304"/>
      <c r="M22" s="304"/>
      <c r="O22" s="294"/>
    </row>
    <row r="23" spans="2:16" ht="38.25" customHeight="1" thickBot="1" x14ac:dyDescent="0.25">
      <c r="C23" s="754" t="s">
        <v>267</v>
      </c>
      <c r="D23" s="312" t="s">
        <v>291</v>
      </c>
      <c r="E23" s="313" t="s">
        <v>292</v>
      </c>
      <c r="F23" s="314" t="s">
        <v>293</v>
      </c>
      <c r="G23" s="891" t="s">
        <v>294</v>
      </c>
      <c r="H23" s="892"/>
      <c r="O23" s="294"/>
      <c r="P23" s="236" t="s">
        <v>258</v>
      </c>
    </row>
    <row r="24" spans="2:16" ht="34.25" customHeight="1" thickTop="1" x14ac:dyDescent="0.2">
      <c r="C24" s="259" t="s">
        <v>117</v>
      </c>
      <c r="D24" s="315" t="s">
        <v>279</v>
      </c>
      <c r="E24" s="316" t="str">
        <f t="shared" ref="E24:E27" si="3">IF(OR(D24="Separately metered", D24=""),"",IF(D24="n/a","n/a","Whole property aggregate"))</f>
        <v>n/a</v>
      </c>
      <c r="F24" s="317"/>
      <c r="G24" s="893" t="s">
        <v>1025</v>
      </c>
      <c r="H24" s="894"/>
      <c r="O24" s="294"/>
      <c r="P24" s="318" t="str">
        <f>IF(AND(OR(D24="n/a",E24="n/a"),G10&gt;0),"Tenant billing method and tenant data source must be provided if there are tenant-paid utilities. ","")&amp;IF(AND(G10=0,OR(AND(D24&lt;&gt;"n/a",D24&lt;&gt;""),AND(E24&lt;&gt;"n/a",E24&lt;&gt;""))), "Tenant billing method or data source provided when no tenant costs were provided. ","")&amp;IF(OR(D24="",D24="n/a",D24="Separately metered"),"",IF(AND(E24&lt;&gt;"Whole property aggregate",E24&lt;&gt;""),"Whole property bill data must be obtained if tenants are not separately metered. ",""))&amp;IF(F24="","",IF(F24&lt;Assumptions!$C$78,"Number of accounts sampled is below minimum required sample size. ",""))</f>
        <v/>
      </c>
    </row>
    <row r="25" spans="2:16" ht="34.25" customHeight="1" x14ac:dyDescent="0.2">
      <c r="C25" s="319" t="str">
        <f>C11</f>
        <v>Natural Gas</v>
      </c>
      <c r="D25" s="320" t="s">
        <v>279</v>
      </c>
      <c r="E25" s="316" t="s">
        <v>279</v>
      </c>
      <c r="F25" s="321"/>
      <c r="G25" s="895" t="s">
        <v>1026</v>
      </c>
      <c r="H25" s="896"/>
      <c r="O25" s="294"/>
      <c r="P25" s="318" t="str">
        <f>IF(AND(OR(D25="n/a",E25="n/a"),G11&gt;0),"Tenant billing method and tenant data source must be provided if there are tenant-paid utilities. ","")&amp;IF(AND(G11=0,OR(AND(D25&lt;&gt;"n/a",D25&lt;&gt;""),AND(E25&lt;&gt;"n/a",E25&lt;&gt;""))), "Tenant billing method or data source provided when no tenant costs were provided. ","")&amp;IF(OR(D25="",D25="n/a",D25="Separately metered"),"",IF(AND(E25&lt;&gt;"Whole property aggregate",E25&lt;&gt;""),"Whole property bill data must be obtained if tenants are not separately metered. ",""))&amp;IF(F25="","",IF(F25&lt;Assumptions!$C$78,"Number of accounts sampled is below minimum required sample size. ",""))</f>
        <v/>
      </c>
    </row>
    <row r="26" spans="2:16" ht="34.25" customHeight="1" x14ac:dyDescent="0.2">
      <c r="C26" s="319" t="str">
        <f>C12</f>
        <v>n/a</v>
      </c>
      <c r="D26" s="320"/>
      <c r="E26" s="316" t="str">
        <f t="shared" si="3"/>
        <v/>
      </c>
      <c r="F26" s="321"/>
      <c r="G26" s="895"/>
      <c r="H26" s="896"/>
      <c r="O26" s="294"/>
      <c r="P26" s="318" t="str">
        <f>IF(AND(OR(D26="n/a",E26="n/a"),G12&gt;0),"Tenant billing method and tenant data source must be provided if there are tenant-paid utilities. ","")&amp;IF(AND(G12=0,OR(AND(D26&lt;&gt;"n/a",D26&lt;&gt;""),AND(E26&lt;&gt;"n/a",E26&lt;&gt;""))), "Tenant billing method or data source provided when no tenant costs were provided. ","")&amp;IF(OR(D26="",D26="n/a",D26="Separately metered"),"",IF(AND(E26&lt;&gt;"Whole property aggregate",E26&lt;&gt;""),"Whole property bill data must be obtained if tenants are not separately metered. ",""))&amp;IF(F26="","",IF(F26&lt;Assumptions!$C$78,"Number of accounts sampled is below minimum required sample size. ",""))</f>
        <v/>
      </c>
    </row>
    <row r="27" spans="2:16" ht="34.25" customHeight="1" x14ac:dyDescent="0.2">
      <c r="C27" s="274" t="s">
        <v>278</v>
      </c>
      <c r="D27" s="322" t="s">
        <v>761</v>
      </c>
      <c r="E27" s="323" t="str">
        <f t="shared" si="3"/>
        <v>Whole property aggregate</v>
      </c>
      <c r="F27" s="324"/>
      <c r="G27" s="897" t="s">
        <v>1027</v>
      </c>
      <c r="H27" s="898"/>
      <c r="O27" s="294"/>
      <c r="P27" s="748" t="str">
        <f>IF(AND(OR(D27="n/a",E27="n/a"),G13&gt;0),"Tenant billing method and tenant data source must be provided if there are tenant-paid utilities. ","")&amp;IF(AND(G13=0,OR(AND(D27&lt;&gt;"n/a",D27&lt;&gt;""),AND(E27&lt;&gt;"n/a",E27&lt;&gt;""))), "Tenant billing method or data source provided when no tenant costs were provided. ","")&amp;IF(OR(D27="",D27="n/a",D27="Separately metered"),"",IF(AND(E27&lt;&gt;"Whole property aggregate",E27&lt;&gt;""),"Whole property bill data must be obtained if tenants are not separately metered. ",""))&amp;IF(F27="","",IF(F27&lt;Assumptions!$C$78,"Number of accounts sampled is below minimum required sample size. ",""))</f>
        <v/>
      </c>
    </row>
    <row r="28" spans="2:16" ht="18" customHeight="1" x14ac:dyDescent="0.2">
      <c r="C28" s="325"/>
      <c r="D28" s="326"/>
      <c r="E28" s="327"/>
      <c r="F28" s="328"/>
      <c r="G28" s="328"/>
      <c r="I28" s="329"/>
      <c r="J28" s="330"/>
      <c r="K28" s="331"/>
      <c r="L28" s="331"/>
      <c r="M28" s="331"/>
      <c r="O28" s="294"/>
      <c r="P28" s="332"/>
    </row>
    <row r="29" spans="2:16" ht="27" customHeight="1" thickBot="1" x14ac:dyDescent="0.25">
      <c r="C29" s="754" t="s">
        <v>295</v>
      </c>
      <c r="D29" s="333" t="s">
        <v>296</v>
      </c>
      <c r="E29" s="334" t="s">
        <v>297</v>
      </c>
      <c r="F29" s="751" t="s">
        <v>298</v>
      </c>
      <c r="G29" s="328"/>
      <c r="O29" s="294"/>
      <c r="P29" s="236" t="s">
        <v>258</v>
      </c>
    </row>
    <row r="30" spans="2:16" ht="27" customHeight="1" thickTop="1" x14ac:dyDescent="0.2">
      <c r="C30" s="335" t="s">
        <v>299</v>
      </c>
      <c r="D30" s="336" t="s">
        <v>56</v>
      </c>
      <c r="E30" s="638" t="s">
        <v>119</v>
      </c>
      <c r="F30" s="642"/>
      <c r="G30" s="328"/>
      <c r="O30" s="294"/>
      <c r="P30" s="318" t="str">
        <f>IFERROR(IF(AND(INDEX(G$10:G$12,MATCH(E30,C$10:C$12,0))=0,OR(D30="Tenant",D30="Mixed")),"Utility payer does not match tenant costs in historical costs provided above. ",""),"")&amp;IFERROR(IF(AND(INDEX(D$10:D$12,MATCH(E30,C$10:C$12,0))=0,OR(D30="Owner",D30="Mixed")),"Utility payer does not match owner costs in historical costs provided above. ",""),"")</f>
        <v/>
      </c>
    </row>
    <row r="31" spans="2:16" ht="27" customHeight="1" x14ac:dyDescent="0.2">
      <c r="C31" s="337" t="s">
        <v>300</v>
      </c>
      <c r="D31" s="338" t="s">
        <v>56</v>
      </c>
      <c r="E31" s="639" t="s">
        <v>119</v>
      </c>
      <c r="F31" s="643"/>
      <c r="G31" s="328"/>
      <c r="O31" s="294"/>
      <c r="P31" s="747" t="str">
        <f t="shared" ref="P31:P33" si="4">IFERROR(IF(AND(INDEX(G$10:G$12,MATCH(E31,C$10:C$12,0))=0,OR(D31="Tenant",D31="Mixed")),"Utility payer does not match tenant costs in historical costs provided above. ",""),"")&amp;IFERROR(IF(AND(INDEX(D$10:D$12,MATCH(E31,C$10:C$12,0))=0,OR(D31="Owner",D31="Mixed")),"Utility payer does not match owner costs in historical costs provided above. ",""),"")</f>
        <v/>
      </c>
    </row>
    <row r="32" spans="2:16" ht="27" customHeight="1" x14ac:dyDescent="0.2">
      <c r="C32" s="337" t="s">
        <v>301</v>
      </c>
      <c r="D32" s="338" t="s">
        <v>56</v>
      </c>
      <c r="E32" s="640" t="s">
        <v>117</v>
      </c>
      <c r="F32" s="644"/>
      <c r="G32" s="328"/>
      <c r="O32" s="294"/>
      <c r="P32" s="747" t="str">
        <f>IFERROR(IF(AND(INDEX(G$10:G$12,MATCH(E32,C$10:C$12,0))=0,OR(D32="Tenant",D32="Mixed")),"Utility payer does not match tenant costs in historical costs provided above. ",""),"")&amp;IFERROR(IF(AND(INDEX(D$10:D$12,MATCH(E32,C$10:C$12,0))=0,OR(D32="Owner",D32="Mixed")),"Utility payer does not match owner costs in historical costs provided above. ",""),"")</f>
        <v/>
      </c>
    </row>
    <row r="33" spans="2:16" ht="27" customHeight="1" x14ac:dyDescent="0.2">
      <c r="C33" s="339" t="s">
        <v>302</v>
      </c>
      <c r="D33" s="340" t="s">
        <v>56</v>
      </c>
      <c r="E33" s="641" t="s">
        <v>117</v>
      </c>
      <c r="F33" s="645" t="s">
        <v>303</v>
      </c>
      <c r="G33" s="328"/>
      <c r="O33" s="294"/>
      <c r="P33" s="748" t="str">
        <f t="shared" si="4"/>
        <v/>
      </c>
    </row>
    <row r="34" spans="2:16" ht="28.5" customHeight="1" x14ac:dyDescent="0.2">
      <c r="C34" s="289"/>
      <c r="D34" s="290"/>
      <c r="E34" s="291"/>
      <c r="F34" s="292"/>
      <c r="G34" s="293"/>
      <c r="H34" s="303"/>
      <c r="I34" s="303"/>
      <c r="J34" s="303"/>
      <c r="K34" s="303"/>
      <c r="L34" s="303"/>
      <c r="M34" s="303"/>
      <c r="N34" s="303"/>
      <c r="P34" s="294"/>
    </row>
    <row r="35" spans="2:16" ht="19" thickBot="1" x14ac:dyDescent="0.3">
      <c r="B35" s="207" t="s">
        <v>304</v>
      </c>
      <c r="C35" s="94"/>
      <c r="D35" s="94"/>
      <c r="E35" s="94"/>
      <c r="F35" s="94"/>
      <c r="G35" s="94"/>
      <c r="H35" s="94"/>
      <c r="I35" s="94"/>
      <c r="J35" s="94"/>
      <c r="K35" s="94"/>
      <c r="L35" s="94"/>
      <c r="M35" s="94"/>
      <c r="N35" s="94"/>
      <c r="P35" s="294"/>
    </row>
    <row r="36" spans="2:16" ht="30" customHeight="1" x14ac:dyDescent="0.2">
      <c r="B36" s="888" t="s">
        <v>305</v>
      </c>
      <c r="C36" s="888"/>
      <c r="D36" s="888"/>
      <c r="E36" s="888"/>
      <c r="F36" s="888"/>
      <c r="G36" s="888"/>
      <c r="H36" s="888"/>
      <c r="I36" s="888"/>
      <c r="J36" s="888"/>
      <c r="K36" s="888"/>
      <c r="L36" s="888"/>
      <c r="M36" s="888"/>
      <c r="N36" s="888"/>
      <c r="P36" s="294"/>
    </row>
    <row r="37" spans="2:16" ht="22.25" customHeight="1" x14ac:dyDescent="0.2">
      <c r="B37" s="888" t="s">
        <v>306</v>
      </c>
      <c r="C37" s="888"/>
      <c r="D37" s="888"/>
      <c r="E37" s="888"/>
      <c r="F37" s="888"/>
      <c r="G37" s="888"/>
      <c r="H37" s="888"/>
      <c r="I37" s="888"/>
      <c r="J37" s="888"/>
      <c r="K37" s="888"/>
      <c r="L37" s="888"/>
      <c r="M37" s="888"/>
      <c r="N37" s="888"/>
      <c r="P37" s="294"/>
    </row>
    <row r="38" spans="2:16" ht="10.5" customHeight="1" x14ac:dyDescent="0.2">
      <c r="D38" s="291"/>
      <c r="E38" s="291"/>
      <c r="F38" s="291"/>
      <c r="G38" s="341"/>
      <c r="H38" s="342"/>
      <c r="P38" s="294"/>
    </row>
    <row r="39" spans="2:16" ht="16.5" customHeight="1" x14ac:dyDescent="0.2">
      <c r="D39" s="861" t="s">
        <v>307</v>
      </c>
      <c r="E39" s="861"/>
      <c r="F39" s="862"/>
      <c r="G39" s="861" t="s">
        <v>308</v>
      </c>
      <c r="H39" s="861"/>
      <c r="I39" s="861"/>
      <c r="P39" s="294"/>
    </row>
    <row r="40" spans="2:16" ht="30.75" customHeight="1" thickBot="1" x14ac:dyDescent="0.25">
      <c r="B40" s="166"/>
      <c r="C40" s="754" t="s">
        <v>267</v>
      </c>
      <c r="D40" s="343" t="s">
        <v>309</v>
      </c>
      <c r="E40" s="343" t="s">
        <v>310</v>
      </c>
      <c r="F40" s="344" t="s">
        <v>311</v>
      </c>
      <c r="G40" s="345" t="s">
        <v>312</v>
      </c>
      <c r="H40" s="343" t="s">
        <v>138</v>
      </c>
      <c r="I40" s="258" t="s">
        <v>313</v>
      </c>
      <c r="J40" s="258" t="s">
        <v>314</v>
      </c>
      <c r="K40" s="872" t="s">
        <v>315</v>
      </c>
      <c r="L40" s="873"/>
      <c r="M40" s="873"/>
      <c r="N40" s="874"/>
      <c r="P40" s="236" t="s">
        <v>258</v>
      </c>
    </row>
    <row r="41" spans="2:16" ht="22.5" customHeight="1" thickTop="1" x14ac:dyDescent="0.2">
      <c r="C41" s="259" t="s">
        <v>117</v>
      </c>
      <c r="D41" s="611">
        <v>18253</v>
      </c>
      <c r="E41" s="611">
        <v>985658</v>
      </c>
      <c r="F41" s="347" t="s">
        <v>279</v>
      </c>
      <c r="G41" s="613">
        <v>0</v>
      </c>
      <c r="H41" s="617">
        <v>820000</v>
      </c>
      <c r="I41" s="614">
        <v>1381</v>
      </c>
      <c r="J41" s="349" t="s">
        <v>277</v>
      </c>
      <c r="K41" s="863"/>
      <c r="L41" s="864"/>
      <c r="M41" s="864"/>
      <c r="N41" s="865"/>
      <c r="P41" s="318" t="str">
        <f>IF(AND(D41="",E41="",G41="",H41="",I41=""),"",IFERROR(IF(ABS(J10-SUM(D41:I41))/J10&gt;0.05, "Total consumption must match historical consumption above.", ""),""))</f>
        <v/>
      </c>
    </row>
    <row r="42" spans="2:16" ht="22.5" customHeight="1" x14ac:dyDescent="0.2">
      <c r="C42" s="319" t="str">
        <f>C11</f>
        <v>Natural Gas</v>
      </c>
      <c r="D42" s="612">
        <v>2187</v>
      </c>
      <c r="E42" s="612">
        <v>0</v>
      </c>
      <c r="F42" s="351" t="s">
        <v>279</v>
      </c>
      <c r="G42" s="613">
        <v>16520</v>
      </c>
      <c r="H42" s="352" t="s">
        <v>279</v>
      </c>
      <c r="I42" s="615">
        <v>3160</v>
      </c>
      <c r="J42" s="353" t="str">
        <f>F11</f>
        <v>therms gas</v>
      </c>
      <c r="K42" s="866"/>
      <c r="L42" s="867"/>
      <c r="M42" s="867"/>
      <c r="N42" s="868"/>
      <c r="P42" s="747" t="str">
        <f>IF(AND(D42="",E42="",G42="",I42=""),"",IFERROR(IF(ABS(J11-SUM(D42:I42))/J11&gt;0.05, "Total consumption must match historical consumption above.", ""),""))</f>
        <v/>
      </c>
    </row>
    <row r="43" spans="2:16" ht="22.5" customHeight="1" x14ac:dyDescent="0.2">
      <c r="C43" s="319" t="str">
        <f>C12</f>
        <v>n/a</v>
      </c>
      <c r="D43" s="612"/>
      <c r="E43" s="612"/>
      <c r="F43" s="351" t="s">
        <v>279</v>
      </c>
      <c r="G43" s="613"/>
      <c r="H43" s="352" t="s">
        <v>279</v>
      </c>
      <c r="I43" s="615"/>
      <c r="J43" s="353">
        <f>F12</f>
        <v>0</v>
      </c>
      <c r="K43" s="866"/>
      <c r="L43" s="867"/>
      <c r="M43" s="867"/>
      <c r="N43" s="868"/>
      <c r="P43" s="747" t="str">
        <f>IF(AND(D43="",E43="",G43="",I43=""),"",IFERROR(IF(ABS(J12-SUM(D43:I43))/J12&gt;0.05, "Total consumption must match historical consumption above.", ""),""))</f>
        <v/>
      </c>
    </row>
    <row r="44" spans="2:16" ht="22.5" customHeight="1" x14ac:dyDescent="0.2">
      <c r="C44" s="274" t="s">
        <v>278</v>
      </c>
      <c r="D44" s="354" t="s">
        <v>279</v>
      </c>
      <c r="E44" s="354" t="s">
        <v>279</v>
      </c>
      <c r="F44" s="616">
        <v>1224</v>
      </c>
      <c r="G44" s="355" t="s">
        <v>279</v>
      </c>
      <c r="H44" s="354" t="s">
        <v>279</v>
      </c>
      <c r="I44" s="616">
        <v>7636510</v>
      </c>
      <c r="J44" s="356" t="str">
        <f>F13</f>
        <v>Gal</v>
      </c>
      <c r="K44" s="869"/>
      <c r="L44" s="870"/>
      <c r="M44" s="870"/>
      <c r="N44" s="871"/>
      <c r="P44" s="748" t="str">
        <f>IF(AND(F44="",I44=""),"",IFERROR(IF(ABS(J13-SUM(F44,I44))/J13&gt;0.05, "Total consumption must match historical consumption above. ", ""),""))</f>
        <v/>
      </c>
    </row>
    <row r="45" spans="2:16" ht="22.5" customHeight="1" x14ac:dyDescent="0.2">
      <c r="C45" s="559" t="s">
        <v>276</v>
      </c>
      <c r="D45" s="619">
        <f>SUM('DB-Utilities'!S2:S4)</f>
        <v>280979.23599999998</v>
      </c>
      <c r="E45" s="619">
        <f>SUM('DB-Utilities'!T2:T4)</f>
        <v>3363065.0959999999</v>
      </c>
      <c r="F45" s="618" t="s">
        <v>279</v>
      </c>
      <c r="G45" s="620">
        <f>SUM('DB-Utilities'!V2:V4)</f>
        <v>1652000</v>
      </c>
      <c r="H45" s="621">
        <f>SUM('DB-Utilities'!W2:W4)</f>
        <v>2797840</v>
      </c>
      <c r="I45" s="622">
        <f>SUM('DB-Utilities'!X2:X4)</f>
        <v>320711.97200000001</v>
      </c>
      <c r="J45" s="875" t="s">
        <v>280</v>
      </c>
      <c r="K45" s="876"/>
      <c r="L45" s="749"/>
      <c r="M45" s="749"/>
      <c r="N45" s="288">
        <f>SUM(D45:I45)</f>
        <v>8414596.3039999995</v>
      </c>
    </row>
    <row r="46" spans="2:16" ht="22.5" customHeight="1" x14ac:dyDescent="0.2">
      <c r="C46" s="339" t="s">
        <v>316</v>
      </c>
      <c r="D46" s="623">
        <f>IFERROR(D45/SUM($D$45:$I$45),"-")</f>
        <v>3.3391885462934499E-2</v>
      </c>
      <c r="E46" s="624">
        <f>IFERROR(E45/SUM($D$45:$I$45),"-")</f>
        <v>0.39967040301164758</v>
      </c>
      <c r="F46" s="357" t="s">
        <v>279</v>
      </c>
      <c r="G46" s="625">
        <f>IFERROR(G45/SUM($D$45:$I$45),"-")</f>
        <v>0.19632552059742878</v>
      </c>
      <c r="H46" s="626">
        <f>IFERROR(H45/SUM($D$45:$I$45),"-")</f>
        <v>0.33249842285006664</v>
      </c>
      <c r="I46" s="627">
        <f>IFERROR(I45/SUM($D$45:$I$45),"-")</f>
        <v>3.8113768077922522E-2</v>
      </c>
    </row>
    <row r="47" spans="2:16" ht="27" customHeight="1" x14ac:dyDescent="0.2">
      <c r="P47" s="247"/>
    </row>
    <row r="48" spans="2:16" ht="19" thickBot="1" x14ac:dyDescent="0.3">
      <c r="B48" s="207" t="s">
        <v>317</v>
      </c>
      <c r="C48" s="94"/>
      <c r="D48" s="94"/>
      <c r="E48" s="94"/>
      <c r="F48" s="94"/>
      <c r="G48" s="94"/>
      <c r="H48" s="94"/>
      <c r="I48" s="94"/>
      <c r="J48" s="94"/>
      <c r="K48" s="94"/>
      <c r="L48" s="94"/>
      <c r="M48" s="94"/>
      <c r="N48" s="94"/>
    </row>
    <row r="49" spans="3:16" ht="17.25" customHeight="1" x14ac:dyDescent="0.2">
      <c r="C49" s="248"/>
      <c r="H49" s="358"/>
      <c r="I49" s="251"/>
      <c r="J49" s="251"/>
      <c r="K49" s="251"/>
      <c r="L49" s="251"/>
      <c r="M49" s="251"/>
      <c r="N49" s="251"/>
      <c r="P49" s="247"/>
    </row>
    <row r="50" spans="3:16" ht="35.75" customHeight="1" thickBot="1" x14ac:dyDescent="0.25">
      <c r="C50" s="359" t="s">
        <v>318</v>
      </c>
      <c r="D50" s="360" t="s">
        <v>319</v>
      </c>
      <c r="E50" s="361" t="s">
        <v>320</v>
      </c>
      <c r="F50" s="360" t="s">
        <v>321</v>
      </c>
      <c r="G50" s="361" t="s">
        <v>322</v>
      </c>
      <c r="H50" s="359" t="s">
        <v>323</v>
      </c>
      <c r="P50" s="236" t="s">
        <v>258</v>
      </c>
    </row>
    <row r="51" spans="3:16" ht="17.25" customHeight="1" thickTop="1" x14ac:dyDescent="0.2">
      <c r="C51" s="241">
        <v>9876543</v>
      </c>
      <c r="D51" s="362">
        <v>36</v>
      </c>
      <c r="E51" s="363">
        <v>151.19999999999999</v>
      </c>
      <c r="F51" s="362">
        <v>51</v>
      </c>
      <c r="G51" s="363">
        <v>58.5</v>
      </c>
      <c r="H51" s="364">
        <v>45230</v>
      </c>
      <c r="P51" s="858" t="str">
        <f>IF(AND(C51&amp;D51&amp;E51&amp;F51&amp;G51&amp;H51&lt;&gt;"", OR(C51="", D51="", E51="", F51="", G51="", H51="")), "One or more fields in the ENERGY STAR Report is missing. ","")&amp;
IF(AND(C51&lt;&gt;"",OR(C51&lt;1000000,C51&gt;99999999)),"Portfolio Manager Property ID must be a 7- or 8-digit number (available on SEP and in Portfolio Manager). ","")&amp;
IF(AND(D51&lt;&gt;"",OR(D51&lt;1,D51&gt;100)), "ENERGY STAR Score is not a valid 1-100 score. ","")&amp;
IFERROR(IF(ABS((E51-(M14/'Input-Property'!D32))/E51)&gt;0.1, "Reported Source EUI is significantly different from source EUI calculated from inputs in this workbook. ",""),"")&amp;
IF(AND(F51&lt;&gt;"",OR(F51&lt;1,F51&gt;100)), "Water Score is not a valid 1-100 score. ","")&amp;
IF(OR(D51=1,D51=100), "ENERGY STAR Score of "&amp;D51&amp;" indicates property performs "&amp;IF(D51=1,"worse","better")&amp;" than 99% of similar properties - provide additional description of unusually "&amp;IF(D51=1,"high","low")&amp;" energy consumption. ","")&amp;
IF(OR(F51=1,F51=100), "EPA Water Score of "&amp;F51&amp;" indicates property performs "&amp;IF(F51=1,"worse","better")&amp;" than 99% of similar properties - provide additional description of unusually "&amp;IF(F51=1,"high","low")&amp;" water consumption. ","")&amp;
IFERROR(IF(ABS((G51-(N15*1000/'Input-Property'!D32))/G51)&gt;0.1, "Reported Water Use Intensity is significantly different from water use intensity calculated from inputs in this workbook. ",""),"")&amp;
IF(E51="","",IF(E51&lt;10,"Source EUI is unusually low - provide additional description of energy consumption.",IF(E51&gt;200,"Source EUI is unusually high - provide additional description of energy consumption. ","")))&amp;
IF(G51="","",IF(G51&lt;10,"Water Use Intensity is unusually low - provide additional description of water consumption.",IF(G51&gt;150,"Water Use Intensity is unusually high - provide additional description of water consumption. ","")))&amp;
IF(AND(EOMONTH(H51,0)&lt;&gt;H51,H51&lt;&gt;""),"End date for Portfolio Manager reporting data should reflect the last day of the month. ","")</f>
        <v/>
      </c>
    </row>
    <row r="52" spans="3:16" ht="18" customHeight="1" x14ac:dyDescent="0.2">
      <c r="P52" s="859"/>
    </row>
    <row r="53" spans="3:16" x14ac:dyDescent="0.2">
      <c r="P53" s="859"/>
    </row>
    <row r="54" spans="3:16" x14ac:dyDescent="0.2">
      <c r="P54" s="860"/>
    </row>
  </sheetData>
  <sheetProtection algorithmName="SHA-512" hashValue="sGiz6vvmuQwAfpi2Zyhc7dO+RyLRdwMNsWmoi5mswqNeeSbUMIJ0sfo+7DCGxtz9dEZdLEkul67Tv3plJVWv2w==" saltValue="B9xW9Ko+SsFe5ApjidlXZw==" spinCount="100000" sheet="1" objects="1" scenarios="1"/>
  <mergeCells count="28">
    <mergeCell ref="J16:K16"/>
    <mergeCell ref="P8:P9"/>
    <mergeCell ref="J14:K14"/>
    <mergeCell ref="J15:K15"/>
    <mergeCell ref="B37:N37"/>
    <mergeCell ref="G18:H18"/>
    <mergeCell ref="G23:H23"/>
    <mergeCell ref="G24:H24"/>
    <mergeCell ref="G25:H25"/>
    <mergeCell ref="G26:H26"/>
    <mergeCell ref="G27:H27"/>
    <mergeCell ref="I18:J18"/>
    <mergeCell ref="E18:F18"/>
    <mergeCell ref="B36:N36"/>
    <mergeCell ref="B4:N4"/>
    <mergeCell ref="C8:C9"/>
    <mergeCell ref="D8:F8"/>
    <mergeCell ref="G8:I8"/>
    <mergeCell ref="J8:N8"/>
    <mergeCell ref="P51:P54"/>
    <mergeCell ref="D39:F39"/>
    <mergeCell ref="G39:I39"/>
    <mergeCell ref="K41:N41"/>
    <mergeCell ref="K42:N42"/>
    <mergeCell ref="K43:N43"/>
    <mergeCell ref="K44:N44"/>
    <mergeCell ref="K40:N40"/>
    <mergeCell ref="J45:K45"/>
  </mergeCells>
  <conditionalFormatting sqref="C11:C12">
    <cfRule type="expression" dxfId="34" priority="33">
      <formula>C11=""</formula>
    </cfRule>
  </conditionalFormatting>
  <conditionalFormatting sqref="C51:H51">
    <cfRule type="expression" dxfId="33" priority="34">
      <formula>C51=""</formula>
    </cfRule>
  </conditionalFormatting>
  <conditionalFormatting sqref="D24:D28">
    <cfRule type="expression" dxfId="32" priority="39">
      <formula>AND($C10&lt;&gt;"",$C10&lt;&gt;"n/a",D24="")</formula>
    </cfRule>
  </conditionalFormatting>
  <conditionalFormatting sqref="D10:E13 G10:H13 F11:F13">
    <cfRule type="expression" dxfId="31" priority="8">
      <formula>AND($C10&lt;&gt;"",$C10&lt;&gt;"n/a",D10="")</formula>
    </cfRule>
  </conditionalFormatting>
  <conditionalFormatting sqref="D19:E19 G19 I19">
    <cfRule type="expression" dxfId="30" priority="6">
      <formula>AND($C$19&lt;&gt;"",$C$19&lt;&gt;"n/a",D19="")</formula>
    </cfRule>
  </conditionalFormatting>
  <conditionalFormatting sqref="D41:E43">
    <cfRule type="expression" dxfId="29" priority="35">
      <formula>AND($C41&lt;&gt;"n/a", D41="")</formula>
    </cfRule>
  </conditionalFormatting>
  <conditionalFormatting sqref="E24:E27 G24:G27">
    <cfRule type="expression" dxfId="28" priority="194">
      <formula>AND($C10&lt;&gt;"", $C10&lt;&gt;"n/a", E24="", $D24&lt;&gt;"Owner Only", $D24&lt;&gt;"n/a")</formula>
    </cfRule>
  </conditionalFormatting>
  <conditionalFormatting sqref="E30:E31 D30:D33 E33">
    <cfRule type="expression" dxfId="27" priority="5">
      <formula>D30=""</formula>
    </cfRule>
  </conditionalFormatting>
  <conditionalFormatting sqref="F19">
    <cfRule type="expression" dxfId="26" priority="11">
      <formula>AND($C18&lt;&gt;"",$C18&lt;&gt;"n/a",F19="")</formula>
    </cfRule>
  </conditionalFormatting>
  <conditionalFormatting sqref="F24:F27">
    <cfRule type="expression" dxfId="25" priority="4">
      <formula>AND(E24="Representative sample bills",F24="")</formula>
    </cfRule>
  </conditionalFormatting>
  <conditionalFormatting sqref="F44">
    <cfRule type="expression" dxfId="24" priority="2">
      <formula>AND($C44&lt;&gt;"n/a", F44="")</formula>
    </cfRule>
  </conditionalFormatting>
  <conditionalFormatting sqref="G41:G43">
    <cfRule type="expression" dxfId="23" priority="20">
      <formula>AND($C41&lt;&gt;"n/a", G41="")</formula>
    </cfRule>
  </conditionalFormatting>
  <conditionalFormatting sqref="H19">
    <cfRule type="expression" dxfId="22" priority="193">
      <formula>AND($C18&lt;&gt;"",$C18&lt;&gt;"n/a",H19="")</formula>
    </cfRule>
  </conditionalFormatting>
  <conditionalFormatting sqref="H41">
    <cfRule type="expression" dxfId="21" priority="21">
      <formula>AND($C41&lt;&gt;"n/a", H41="")</formula>
    </cfRule>
  </conditionalFormatting>
  <conditionalFormatting sqref="I41:I44">
    <cfRule type="expression" dxfId="20" priority="30">
      <formula>AND($C41&lt;&gt;"n/a", I41="")</formula>
    </cfRule>
  </conditionalFormatting>
  <conditionalFormatting sqref="K10">
    <cfRule type="expression" dxfId="19" priority="27">
      <formula>AND($C10&lt;&gt;"",$C10&lt;&gt;"n/a",K10="")</formula>
    </cfRule>
  </conditionalFormatting>
  <dataValidations count="11">
    <dataValidation type="list" allowBlank="1" showInputMessage="1" showErrorMessage="1" sqref="J42:J44" xr:uid="{00000000-0002-0000-0600-000000000000}">
      <formula1>$D$4:$D$7</formula1>
    </dataValidation>
    <dataValidation type="date" operator="greaterThan" allowBlank="1" showInputMessage="1" showErrorMessage="1" sqref="H51" xr:uid="{00000000-0002-0000-0600-000001000000}">
      <formula1>42005</formula1>
    </dataValidation>
    <dataValidation errorStyle="warning" allowBlank="1" showInputMessage="1" showErrorMessage="1" error="Property ID should be a 7-digit number. This can be found in Portfolio Manager and on the Energy Star SEP Report." sqref="C51" xr:uid="{00000000-0002-0000-0600-000002000000}"/>
    <dataValidation type="list" allowBlank="1" showInputMessage="1" showErrorMessage="1" sqref="J28 D30:D32" xr:uid="{00000000-0002-0000-0600-000003000000}">
      <formula1>"Owner, Tenant, Mixed"</formula1>
    </dataValidation>
    <dataValidation type="list" allowBlank="1" showErrorMessage="1" promptTitle="Info" sqref="D30:D32" xr:uid="{00000000-0002-0000-0600-000004000000}">
      <formula1>"Owner, Tenant, Mixed"</formula1>
    </dataValidation>
    <dataValidation type="list" allowBlank="1" showInputMessage="1" showErrorMessage="1" sqref="C19" xr:uid="{00000000-0002-0000-0600-000005000000}">
      <formula1>"Solar PV, Cogeneration/CHP, Wind, Other, n/a"</formula1>
    </dataValidation>
    <dataValidation type="list" allowBlank="1" showInputMessage="1" showErrorMessage="1" sqref="D19" xr:uid="{00000000-0002-0000-0600-000006000000}">
      <formula1>"Owner, Tenant, Both owner and tenant"</formula1>
    </dataValidation>
    <dataValidation type="decimal" operator="greaterThanOrEqual" allowBlank="1" showInputMessage="1" showErrorMessage="1" sqref="D10:E13 G10:H13 E19 G19 F44 D41:E43 G41:G43 H41:I41 I42:I44 G51 E51" xr:uid="{00000000-0002-0000-0600-000007000000}">
      <formula1>0</formula1>
    </dataValidation>
    <dataValidation type="list" allowBlank="1" showInputMessage="1" showErrorMessage="1" sqref="D33" xr:uid="{00000000-0002-0000-0600-000008000000}">
      <formula1>"n/a, Owner, Tenant, Mixed"</formula1>
    </dataValidation>
    <dataValidation type="list" allowBlank="1" showErrorMessage="1" promptTitle="Info" sqref="D33" xr:uid="{00000000-0002-0000-0600-000009000000}">
      <formula1>"Owner, Tenant, Mixed, n/a"</formula1>
    </dataValidation>
    <dataValidation type="whole" operator="greaterThanOrEqual" allowBlank="1" showInputMessage="1" showErrorMessage="1" error="Total Electricity Generated cannot be less than Electricity Used Onsite." sqref="I19" xr:uid="{00000000-0002-0000-0600-00000A000000}">
      <formula1>G19</formula1>
    </dataValidation>
  </dataValidations>
  <pageMargins left="0.7" right="0.7" top="0.75" bottom="0.75" header="0.3" footer="0.3"/>
  <pageSetup paperSize="5" scale="84" orientation="landscape" r:id="rId1"/>
  <headerFooter>
    <oddFooter>&amp;L&amp;"Source Sans Pro,Regular"&amp;8© 2023 Fannie Mae. Trademarks of Fannie Mae._x000D_&amp;1#&amp;"Calibri"&amp;10&amp;K000000 Fannie Mae Confidential&amp;C&amp;"Source Sans Pro,Regular"&amp;8Form 4099.H - October 2023&amp;R&amp;"Source Sans Pro,Regular"&amp;8Page &amp;P of &amp;N</oddFooter>
  </headerFooter>
  <legacyDrawing r:id="rId2"/>
  <extLst>
    <ext xmlns:x14="http://schemas.microsoft.com/office/spreadsheetml/2009/9/main" uri="{CCE6A557-97BC-4b89-ADB6-D9C93CAAB3DF}">
      <x14:dataValidations xmlns:xm="http://schemas.microsoft.com/office/excel/2006/main" count="14">
        <x14:dataValidation type="list" allowBlank="1" showErrorMessage="1" promptTitle="Info" xr:uid="{00000000-0002-0000-0600-00000B000000}">
          <x14:formula1>
            <xm:f>Dropdowns!$C$3:$C$7</xm:f>
          </x14:formula1>
          <xm:sqref>D24:D27</xm:sqref>
        </x14:dataValidation>
        <x14:dataValidation type="list" allowBlank="1" showErrorMessage="1" xr:uid="{00000000-0002-0000-0600-00000C000000}">
          <x14:formula1>
            <xm:f>Dropdowns!$G$3:$G$6</xm:f>
          </x14:formula1>
          <xm:sqref>E24:E27</xm:sqref>
        </x14:dataValidation>
        <x14:dataValidation type="list" allowBlank="1" showInputMessage="1" showErrorMessage="1" xr:uid="{00000000-0002-0000-0600-00000E000000}">
          <x14:formula1>
            <xm:f>Dropdowns!$F$3:$F$6</xm:f>
          </x14:formula1>
          <xm:sqref>F13</xm:sqref>
        </x14:dataValidation>
        <x14:dataValidation type="list" allowBlank="1" showInputMessage="1" showErrorMessage="1" xr:uid="{00000000-0002-0000-0600-000010000000}">
          <x14:formula1>
            <xm:f>Dropdowns!$P$4:$P$6</xm:f>
          </x14:formula1>
          <xm:sqref>E30:F31 F33 K28:M28</xm:sqref>
        </x14:dataValidation>
        <x14:dataValidation type="list" allowBlank="1" showErrorMessage="1" xr:uid="{00000000-0002-0000-0600-000011000000}">
          <x14:formula1>
            <xm:f>Dropdowns!$P$4:$P$6</xm:f>
          </x14:formula1>
          <xm:sqref>E30:F31</xm:sqref>
        </x14:dataValidation>
        <x14:dataValidation type="list" allowBlank="1" showInputMessage="1" showErrorMessage="1" xr:uid="{00000000-0002-0000-0600-000012000000}">
          <x14:formula1>
            <xm:f>Dropdowns!$P$3:$P$6</xm:f>
          </x14:formula1>
          <xm:sqref>E33</xm:sqref>
        </x14:dataValidation>
        <x14:dataValidation type="list" allowBlank="1" showErrorMessage="1" xr:uid="{00000000-0002-0000-0600-000013000000}">
          <x14:formula1>
            <xm:f>Dropdowns!$P$3:$P$6</xm:f>
          </x14:formula1>
          <xm:sqref>E33</xm:sqref>
        </x14:dataValidation>
        <x14:dataValidation type="list" allowBlank="1" showErrorMessage="1" xr:uid="{00000000-0002-0000-0600-000014000000}">
          <x14:formula1>
            <xm:f>Dropdowns!$P$2:$P$6</xm:f>
          </x14:formula1>
          <xm:sqref>F33</xm:sqref>
        </x14:dataValidation>
        <x14:dataValidation type="list" allowBlank="1" showInputMessage="1" showErrorMessage="1" xr:uid="{00000000-0002-0000-0600-00000F000000}">
          <x14:formula1>
            <xm:f>Dropdowns!$H$3:$H$12</xm:f>
          </x14:formula1>
          <xm:sqref>C11:C12</xm:sqref>
        </x14:dataValidation>
        <x14:dataValidation type="list" allowBlank="1" showInputMessage="1" showErrorMessage="1" xr:uid="{00000000-0002-0000-0600-00000D000000}">
          <x14:formula1>
            <xm:f>Dropdowns!$E$3:$E$13</xm:f>
          </x14:formula1>
          <xm:sqref>F11:F12</xm:sqref>
        </x14:dataValidation>
        <x14:dataValidation type="whole" allowBlank="1" showInputMessage="1" showErrorMessage="1" error="Number of accounts sampled must be a valid number no greater than the total number of units at the property." xr:uid="{00000000-0002-0000-0600-000015000000}">
          <x14:formula1>
            <xm:f>0</xm:f>
          </x14:formula1>
          <x14:formula2>
            <xm:f>'Input-Property'!D42</xm:f>
          </x14:formula2>
          <xm:sqref>F24</xm:sqref>
        </x14:dataValidation>
        <x14:dataValidation type="whole" allowBlank="1" showInputMessage="1" showErrorMessage="1" error="Number of accounts sampled must be a valid number no greater than the total number of units at the property." xr:uid="{00000000-0002-0000-0600-000016000000}">
          <x14:formula1>
            <xm:f>0</xm:f>
          </x14:formula1>
          <x14:formula2>
            <xm:f>'Input-Property'!D42</xm:f>
          </x14:formula2>
          <xm:sqref>F25</xm:sqref>
        </x14:dataValidation>
        <x14:dataValidation type="whole" allowBlank="1" showInputMessage="1" showErrorMessage="1" error="Number of accounts sampled must be a valid number no greater than the total number of units at the property." xr:uid="{00000000-0002-0000-0600-000017000000}">
          <x14:formula1>
            <xm:f>0</xm:f>
          </x14:formula1>
          <x14:formula2>
            <xm:f>'Input-Property'!D42</xm:f>
          </x14:formula2>
          <xm:sqref>F26</xm:sqref>
        </x14:dataValidation>
        <x14:dataValidation type="whole" allowBlank="1" showInputMessage="1" showErrorMessage="1" error="Number of accounts sampled must be a valid number no greater than the total number of units at the property." xr:uid="{00000000-0002-0000-0600-000018000000}">
          <x14:formula1>
            <xm:f>0</xm:f>
          </x14:formula1>
          <x14:formula2>
            <xm:f>'Input-Property'!D42</xm:f>
          </x14:formula2>
          <xm:sqref>F27</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tabColor rgb="FF92D050"/>
    <pageSetUpPr autoPageBreaks="0"/>
  </sheetPr>
  <dimension ref="B1:Q67"/>
  <sheetViews>
    <sheetView showGridLines="0" zoomScaleNormal="100" workbookViewId="0"/>
  </sheetViews>
  <sheetFormatPr baseColWidth="10" defaultColWidth="9.33203125" defaultRowHeight="15" x14ac:dyDescent="0.2"/>
  <cols>
    <col min="1" max="2" width="2.33203125" style="92" customWidth="1"/>
    <col min="3" max="3" width="16.33203125" style="92" customWidth="1"/>
    <col min="4" max="4" width="13.33203125" style="92" customWidth="1"/>
    <col min="5" max="5" width="8.6640625" style="92" customWidth="1"/>
    <col min="6" max="6" width="8.33203125" style="92" customWidth="1"/>
    <col min="7" max="7" width="8.6640625" style="92" customWidth="1"/>
    <col min="8" max="8" width="7.33203125" style="92" customWidth="1"/>
    <col min="9" max="9" width="8.5" style="92" customWidth="1"/>
    <col min="10" max="10" width="7.33203125" style="92" customWidth="1"/>
    <col min="11" max="12" width="10" style="92" customWidth="1"/>
    <col min="13" max="13" width="9.5" style="92" customWidth="1"/>
    <col min="14" max="14" width="2.5" style="92" customWidth="1"/>
    <col min="15" max="15" width="52.5" style="92" customWidth="1"/>
    <col min="16" max="16" width="9.33203125" style="92"/>
    <col min="17" max="17" width="11.33203125" style="92" customWidth="1"/>
    <col min="18" max="16384" width="9.33203125" style="92"/>
  </cols>
  <sheetData>
    <row r="1" spans="2:17" ht="23.25" customHeight="1" x14ac:dyDescent="0.2">
      <c r="B1" s="90" t="s">
        <v>1</v>
      </c>
      <c r="C1" s="91"/>
      <c r="D1" s="91"/>
      <c r="E1" s="91"/>
      <c r="F1" s="91"/>
      <c r="G1" s="91"/>
      <c r="H1" s="91"/>
      <c r="I1" s="91"/>
      <c r="M1" s="91"/>
    </row>
    <row r="2" spans="2:17" ht="15" customHeight="1" x14ac:dyDescent="0.2">
      <c r="C2" s="91"/>
      <c r="D2" s="91"/>
      <c r="E2" s="91"/>
      <c r="F2" s="91"/>
      <c r="G2" s="91"/>
      <c r="H2" s="91"/>
      <c r="I2" s="91"/>
      <c r="J2" s="91"/>
      <c r="K2" s="91"/>
      <c r="L2" s="91"/>
      <c r="M2" s="91"/>
    </row>
    <row r="3" spans="2:17" ht="25" x14ac:dyDescent="0.3">
      <c r="B3" s="107" t="s">
        <v>324</v>
      </c>
      <c r="H3" s="91"/>
    </row>
    <row r="4" spans="2:17" ht="28.5" customHeight="1" x14ac:dyDescent="0.2">
      <c r="B4" s="877" t="s">
        <v>325</v>
      </c>
      <c r="C4" s="877"/>
      <c r="D4" s="877"/>
      <c r="E4" s="877"/>
      <c r="F4" s="877"/>
      <c r="G4" s="877"/>
      <c r="H4" s="877"/>
      <c r="I4" s="877"/>
      <c r="J4" s="877"/>
      <c r="K4" s="877"/>
      <c r="L4" s="877"/>
      <c r="M4" s="877"/>
    </row>
    <row r="5" spans="2:17" s="225" customFormat="1" ht="18" customHeight="1" x14ac:dyDescent="0.15"/>
    <row r="6" spans="2:17" s="225" customFormat="1" ht="19" thickBot="1" x14ac:dyDescent="0.3">
      <c r="B6" s="207" t="s">
        <v>326</v>
      </c>
      <c r="C6" s="365"/>
      <c r="D6" s="365"/>
      <c r="E6" s="365"/>
      <c r="F6" s="365"/>
      <c r="G6" s="365"/>
      <c r="H6" s="365"/>
      <c r="I6" s="365"/>
      <c r="J6" s="365"/>
      <c r="K6" s="365"/>
      <c r="L6" s="365"/>
      <c r="M6" s="365"/>
    </row>
    <row r="7" spans="2:17" s="225" customFormat="1" ht="15" customHeight="1" x14ac:dyDescent="0.15"/>
    <row r="8" spans="2:17" s="225" customFormat="1" ht="15" customHeight="1" x14ac:dyDescent="0.2">
      <c r="B8" s="90" t="s">
        <v>327</v>
      </c>
    </row>
    <row r="9" spans="2:17" s="225" customFormat="1" ht="15" customHeight="1" x14ac:dyDescent="0.15">
      <c r="B9" s="966" t="s">
        <v>328</v>
      </c>
      <c r="C9" s="967"/>
      <c r="D9" s="967"/>
      <c r="E9" s="967"/>
      <c r="F9" s="967"/>
      <c r="G9" s="967"/>
      <c r="H9" s="967"/>
      <c r="I9" s="967"/>
      <c r="J9" s="967"/>
      <c r="K9" s="967"/>
      <c r="L9" s="967"/>
      <c r="M9" s="967"/>
    </row>
    <row r="10" spans="2:17" s="225" customFormat="1" ht="9.75" customHeight="1" x14ac:dyDescent="0.15"/>
    <row r="11" spans="2:17" s="225" customFormat="1" ht="15" customHeight="1" x14ac:dyDescent="0.15">
      <c r="C11" s="921" t="s">
        <v>329</v>
      </c>
      <c r="D11" s="922"/>
      <c r="E11" s="959" t="s">
        <v>70</v>
      </c>
      <c r="F11" s="962" t="s">
        <v>330</v>
      </c>
      <c r="G11" s="963"/>
      <c r="H11" s="958" t="s">
        <v>331</v>
      </c>
      <c r="I11" s="959"/>
      <c r="J11" s="954" t="s">
        <v>332</v>
      </c>
      <c r="K11" s="955"/>
      <c r="O11" s="886" t="s">
        <v>258</v>
      </c>
    </row>
    <row r="12" spans="2:17" s="225" customFormat="1" ht="15" customHeight="1" thickBot="1" x14ac:dyDescent="0.2">
      <c r="C12" s="923"/>
      <c r="D12" s="924"/>
      <c r="E12" s="961"/>
      <c r="F12" s="964"/>
      <c r="G12" s="965"/>
      <c r="H12" s="960"/>
      <c r="I12" s="961"/>
      <c r="J12" s="956"/>
      <c r="K12" s="957"/>
      <c r="O12" s="887" t="s">
        <v>258</v>
      </c>
      <c r="Q12" s="366"/>
    </row>
    <row r="13" spans="2:17" s="225" customFormat="1" ht="15" customHeight="1" thickTop="1" x14ac:dyDescent="0.15">
      <c r="C13" s="941" t="s">
        <v>333</v>
      </c>
      <c r="D13" s="367" t="s">
        <v>334</v>
      </c>
      <c r="E13" s="368">
        <v>129</v>
      </c>
      <c r="F13" s="952">
        <v>1</v>
      </c>
      <c r="G13" s="953"/>
      <c r="H13" s="369">
        <v>2.4</v>
      </c>
      <c r="I13" s="370" t="str">
        <f>VLOOKUP(C13,Assumptions!$B$37:$F$40, 5, FALSE)</f>
        <v>gpm</v>
      </c>
      <c r="J13" s="371">
        <v>1.5</v>
      </c>
      <c r="K13" s="372" t="str">
        <f>I13</f>
        <v>gpm</v>
      </c>
      <c r="O13" s="937" t="str">
        <f>IF(OR(H13&gt;'QC Ranges'!E40,H14&gt;'QC Ranges'!E40), "Existing kitchen faucet flow rate is higher than typical. ", "")&amp;IF(AND(SUM(F13:G14)&lt;&gt;1, F13&lt;&gt;"", F14&lt;&gt;""), "100% of occupants using kitchen faucets have not been accounted for. ", "")&amp;IF(OR(E13="",COUNTA('Input-EWEMs'!$D$12:$D$41)=0),"",IF(E13&lt;&gt;SUMIF('Input-EWEMs'!$E$12:$E$41,MeasureList!$L$5,'Input-EWEMs'!$H$12:$H$41),"Quantity of modeled kitchen faucet replacements does not match quantity in EWEM in Input-EWEMs tab. ",""))</f>
        <v/>
      </c>
      <c r="Q13" s="366"/>
    </row>
    <row r="14" spans="2:17" s="225" customFormat="1" ht="15" customHeight="1" x14ac:dyDescent="0.15">
      <c r="C14" s="940"/>
      <c r="D14" s="373" t="s">
        <v>335</v>
      </c>
      <c r="E14" s="368">
        <v>0</v>
      </c>
      <c r="F14" s="952">
        <f>IF(AND(ISNUMBER(E14),E14=0), 0, IF(F13="","",1-F13))</f>
        <v>0</v>
      </c>
      <c r="G14" s="953"/>
      <c r="H14" s="374">
        <v>0</v>
      </c>
      <c r="I14" s="375" t="s">
        <v>336</v>
      </c>
      <c r="J14" s="376">
        <f>IF(H14="","", H14)</f>
        <v>0</v>
      </c>
      <c r="K14" s="377" t="s">
        <v>336</v>
      </c>
      <c r="O14" s="937"/>
      <c r="Q14" s="366"/>
    </row>
    <row r="15" spans="2:17" s="225" customFormat="1" ht="15" customHeight="1" x14ac:dyDescent="0.15">
      <c r="C15" s="939" t="s">
        <v>337</v>
      </c>
      <c r="D15" s="378" t="s">
        <v>334</v>
      </c>
      <c r="E15" s="379">
        <v>235</v>
      </c>
      <c r="F15" s="942">
        <v>1</v>
      </c>
      <c r="G15" s="943"/>
      <c r="H15" s="369">
        <v>2.04</v>
      </c>
      <c r="I15" s="370" t="str">
        <f>VLOOKUP(C15,Assumptions!$B$37:$F$40, 5, FALSE)</f>
        <v>gpm</v>
      </c>
      <c r="J15" s="371">
        <v>1</v>
      </c>
      <c r="K15" s="372" t="str">
        <f>I15</f>
        <v>gpm</v>
      </c>
      <c r="O15" s="937" t="str">
        <f>IF(OR(H15&gt;'QC Ranges'!E39,H16&gt;'QC Ranges'!E39), "Existing bath faucet flow rate is higher than typical. ", "")&amp;IF(J15&gt;0,IF(J15&lt;1, "Ensure proposed bath faucet flow rate is appropriate for property application to maintain product performance. ", ""),"")&amp;IF(AND(SUM(F15:G16)&lt;&gt;1, F15&lt;&gt;"", F16&lt;&gt;""), "100% of occupants using bath faucets have not been accounted for. ", "")&amp;IF(OR(E15="",COUNTA('Input-EWEMs'!$D$12:$D$41)=0),"",IF(E15&lt;&gt;SUMIF('Input-EWEMs'!$E$12:$E$41,MeasureList!$L$4,'Input-EWEMs'!$H$12:$H$41),"Quantity of modeled bath faucet replacements does not match quantity in EWEM in Input-EWEMs tab. ",""))</f>
        <v/>
      </c>
      <c r="Q15" s="366"/>
    </row>
    <row r="16" spans="2:17" s="225" customFormat="1" ht="15" customHeight="1" x14ac:dyDescent="0.15">
      <c r="C16" s="940"/>
      <c r="D16" s="380" t="s">
        <v>335</v>
      </c>
      <c r="E16" s="381">
        <v>0</v>
      </c>
      <c r="F16" s="944">
        <f>IF(AND(ISNUMBER(E16),E16=0), 0, IF(F15="","",1-F15))</f>
        <v>0</v>
      </c>
      <c r="G16" s="945"/>
      <c r="H16" s="374">
        <v>0</v>
      </c>
      <c r="I16" s="375" t="s">
        <v>336</v>
      </c>
      <c r="J16" s="376">
        <f>IF(H16="","", H16)</f>
        <v>0</v>
      </c>
      <c r="K16" s="377" t="s">
        <v>336</v>
      </c>
      <c r="O16" s="937"/>
      <c r="Q16" s="382"/>
    </row>
    <row r="17" spans="2:16" s="225" customFormat="1" ht="15" customHeight="1" x14ac:dyDescent="0.15">
      <c r="C17" s="939" t="s">
        <v>338</v>
      </c>
      <c r="D17" s="378" t="s">
        <v>334</v>
      </c>
      <c r="E17" s="379">
        <v>181</v>
      </c>
      <c r="F17" s="942">
        <v>1</v>
      </c>
      <c r="G17" s="943"/>
      <c r="H17" s="369">
        <v>2.25</v>
      </c>
      <c r="I17" s="370" t="str">
        <f>VLOOKUP(C17,Assumptions!$B$37:$F$40, 5, FALSE)</f>
        <v>gpm</v>
      </c>
      <c r="J17" s="371">
        <v>1.5</v>
      </c>
      <c r="K17" s="372" t="str">
        <f>I17</f>
        <v>gpm</v>
      </c>
      <c r="O17" s="937" t="str">
        <f>IF(OR(H17&gt;'QC Ranges'!E41,H18&gt;'QC Ranges'!E41), "Existing showerhead flow rate is higher than typical. ", "")&amp;IF(J17&gt;0,IF(J17&lt;1.5, "Ensure proposed showerhead flow rate is appropriate for property application to maintain product performance. ", ""),"")&amp;IF(AND(SUM(F17:G18)&lt;&gt;1, F17&lt;&gt;"", F18&lt;&gt;""), "100% of occupants using showerheads have not been accounted for. ", "")&amp;IF(OR(E17="",COUNTA('Input-EWEMs'!$D$12:$D$41)=0),"",IF(E17&lt;&gt;SUMIF('Input-EWEMs'!$E$12:$E$41,MeasureList!$L$6,'Input-EWEMs'!$H$12:$H$41),"Quantity of modeled showerhead replacements does not match quantity in EWEM in Input-EWEMs tab. ",""))</f>
        <v/>
      </c>
    </row>
    <row r="18" spans="2:16" s="225" customFormat="1" ht="15" customHeight="1" x14ac:dyDescent="0.15">
      <c r="C18" s="940"/>
      <c r="D18" s="380" t="s">
        <v>335</v>
      </c>
      <c r="E18" s="381">
        <v>0</v>
      </c>
      <c r="F18" s="944">
        <f>IF(AND(ISNUMBER(E18),E18=0), 0, IF(F17="","",1-F17))</f>
        <v>0</v>
      </c>
      <c r="G18" s="945"/>
      <c r="H18" s="374">
        <v>0</v>
      </c>
      <c r="I18" s="375" t="s">
        <v>336</v>
      </c>
      <c r="J18" s="376">
        <f>IF(H18="","", H18)</f>
        <v>0</v>
      </c>
      <c r="K18" s="377" t="s">
        <v>336</v>
      </c>
      <c r="O18" s="937"/>
    </row>
    <row r="19" spans="2:16" s="225" customFormat="1" ht="15" customHeight="1" x14ac:dyDescent="0.15">
      <c r="C19" s="939" t="s">
        <v>339</v>
      </c>
      <c r="D19" s="383" t="s">
        <v>334</v>
      </c>
      <c r="E19" s="379">
        <v>235</v>
      </c>
      <c r="F19" s="942">
        <v>1</v>
      </c>
      <c r="G19" s="943"/>
      <c r="H19" s="384">
        <v>2.54</v>
      </c>
      <c r="I19" s="385" t="str">
        <f>VLOOKUP(C19,Assumptions!$B$37:$F$40, 5, FALSE)</f>
        <v>gpf</v>
      </c>
      <c r="J19" s="386">
        <v>0.8</v>
      </c>
      <c r="K19" s="387" t="str">
        <f>I19</f>
        <v>gpf</v>
      </c>
      <c r="O19" s="937" t="str">
        <f>IF(OR(H19&gt;'QC Ranges'!E38,H20&gt;'QC Ranges'!E38), "Existing toilet flush rate is higher than typical. ", "")&amp;IF(J19&gt;0,IF(J19&lt;='QC Ranges'!D34, "Ensure proposed toilet flush rate is appropriate for property application to maintain product performance. ", ""),"")&amp;IF(AND(SUM(F19:G20)&lt;&gt;1, F19&lt;&gt;"", F20&lt;&gt;""), "100% of occupants using toilets have not been accounted for. ", "")&amp;IF(OR(E19="",COUNTA('Input-EWEMs'!$D$12:$D$41)=0),"",IF(E19&lt;&gt;SUMIF('Input-EWEMs'!$E$12:$E$41,MeasureList!$L$3,'Input-EWEMs'!$H$12:$H$41),"Quantity of modeled toilet replacements does not match quantity in EWEM in Input-EWEMs tab. ",""))</f>
        <v xml:space="preserve">Ensure proposed toilet flush rate is appropriate for property application to maintain product performance. </v>
      </c>
    </row>
    <row r="20" spans="2:16" s="225" customFormat="1" ht="15" customHeight="1" thickBot="1" x14ac:dyDescent="0.2">
      <c r="C20" s="940"/>
      <c r="D20" s="388" t="s">
        <v>335</v>
      </c>
      <c r="E20" s="389">
        <v>0</v>
      </c>
      <c r="F20" s="946">
        <f>IF(AND(ISNUMBER(E20),E20=0), 0, IF(F19="","",1-F19))</f>
        <v>0</v>
      </c>
      <c r="G20" s="947"/>
      <c r="H20" s="390">
        <v>0</v>
      </c>
      <c r="I20" s="391" t="s">
        <v>340</v>
      </c>
      <c r="J20" s="392">
        <f>IF(H20="","", H20)</f>
        <v>0</v>
      </c>
      <c r="K20" s="393" t="str">
        <f>I20</f>
        <v>gpf</v>
      </c>
      <c r="O20" s="937"/>
    </row>
    <row r="21" spans="2:16" ht="15" customHeight="1" thickTop="1" x14ac:dyDescent="0.2">
      <c r="C21" s="941" t="s">
        <v>341</v>
      </c>
      <c r="D21" s="378" t="s">
        <v>334</v>
      </c>
      <c r="E21" s="368">
        <v>0</v>
      </c>
      <c r="F21" s="952">
        <v>0</v>
      </c>
      <c r="G21" s="953"/>
      <c r="H21" s="369">
        <v>0</v>
      </c>
      <c r="I21" s="394" t="s">
        <v>164</v>
      </c>
      <c r="J21" s="371">
        <v>0</v>
      </c>
      <c r="K21" s="395" t="s">
        <v>164</v>
      </c>
      <c r="L21" s="225"/>
      <c r="O21" s="852" t="str">
        <f>IF(OR(H21&gt;'QC Ranges'!E42,H22&gt;'QC Ranges'!E42), "Existing in-unit washer uses more water per load than typical range. ","")&amp;IF(AND(J21&gt;0,J21&lt;'QC Ranges'!D42), "Proposed in-unit washer uses less water per load than most available high-efficiency models. ","")&amp;IF(H23&gt;'QC Ranges'!E43, "Existing common washer uses more water per load than typical range. ","")&amp;IF(AND(J23&gt;0,J23&lt;'QC Ranges'!D43), "Proposed common washer uses less water than most available high-efficiency models. ","")&amp;IF(AND(F21&lt;&gt;"",F22&lt;&gt;"",F23&lt;&gt;"",F24&lt;&gt;"",SUM(F21:G24)&lt;&gt;1,'DB-Utilities'!AE5=TRUE), "Number of occupants using washers does not match number of occupants at property (100% of occupants are expected to use either common or in-unit laundry). ", "")&amp;IF(OR(E21="",E23="",COUNTA('Input-EWEMs'!$D$12:$D$41)=0),"",IF(E21+E23&lt;&gt;SUMIF('Input-EWEMs'!$E$12:$E$41,MeasureList!$B$5,'Input-EWEMs'!$H$12:$H$41),"Quantity of modeled washer replacements does not match quantity in EWEM in Input-EWEMs tab. ",""))</f>
        <v/>
      </c>
      <c r="P21" s="225"/>
    </row>
    <row r="22" spans="2:16" ht="15" customHeight="1" x14ac:dyDescent="0.2">
      <c r="C22" s="940"/>
      <c r="D22" s="373" t="s">
        <v>335</v>
      </c>
      <c r="E22" s="368">
        <v>0</v>
      </c>
      <c r="F22" s="948">
        <v>0</v>
      </c>
      <c r="G22" s="949"/>
      <c r="H22" s="374">
        <v>0</v>
      </c>
      <c r="I22" s="396" t="s">
        <v>164</v>
      </c>
      <c r="J22" s="376">
        <f>IF(H22="","", H22)</f>
        <v>0</v>
      </c>
      <c r="K22" s="397" t="s">
        <v>164</v>
      </c>
      <c r="L22" s="225"/>
      <c r="O22" s="852"/>
    </row>
    <row r="23" spans="2:16" ht="15" customHeight="1" x14ac:dyDescent="0.2">
      <c r="C23" s="939" t="s">
        <v>342</v>
      </c>
      <c r="D23" s="383" t="s">
        <v>334</v>
      </c>
      <c r="E23" s="379">
        <v>0</v>
      </c>
      <c r="F23" s="952">
        <v>0</v>
      </c>
      <c r="G23" s="953"/>
      <c r="H23" s="384">
        <v>0</v>
      </c>
      <c r="I23" s="394" t="s">
        <v>164</v>
      </c>
      <c r="J23" s="386">
        <v>0</v>
      </c>
      <c r="K23" s="395" t="s">
        <v>164</v>
      </c>
      <c r="L23" s="225"/>
      <c r="O23" s="852"/>
    </row>
    <row r="24" spans="2:16" ht="15" customHeight="1" thickBot="1" x14ac:dyDescent="0.25">
      <c r="C24" s="940"/>
      <c r="D24" s="380" t="s">
        <v>335</v>
      </c>
      <c r="E24" s="381">
        <v>9</v>
      </c>
      <c r="F24" s="946">
        <v>1</v>
      </c>
      <c r="G24" s="947"/>
      <c r="H24" s="398">
        <v>20</v>
      </c>
      <c r="I24" s="396" t="s">
        <v>164</v>
      </c>
      <c r="J24" s="376">
        <f>IF(H24="","", H24)</f>
        <v>20</v>
      </c>
      <c r="K24" s="397" t="s">
        <v>164</v>
      </c>
      <c r="L24" s="225"/>
      <c r="O24" s="852"/>
    </row>
    <row r="25" spans="2:16" ht="15" customHeight="1" thickTop="1" x14ac:dyDescent="0.2">
      <c r="C25" s="941" t="s">
        <v>343</v>
      </c>
      <c r="D25" s="367" t="s">
        <v>334</v>
      </c>
      <c r="E25" s="399">
        <v>129</v>
      </c>
      <c r="F25" s="950">
        <v>1</v>
      </c>
      <c r="G25" s="951"/>
      <c r="H25" s="400">
        <v>6</v>
      </c>
      <c r="I25" s="401" t="s">
        <v>168</v>
      </c>
      <c r="J25" s="402">
        <v>3.5</v>
      </c>
      <c r="K25" s="403" t="s">
        <v>168</v>
      </c>
      <c r="L25" s="225"/>
      <c r="O25" s="937" t="str">
        <f>IF(OR(H25&gt;'QC Ranges'!E44,H26&gt;'QC Ranges'!E44), "Existing dishwasher water usage exceeds 2007 federal standard. ","")&amp;IF(AND(J25&gt;0,J25&lt;'QC Ranges'!D44), "Proposed dishwasher uses less water than most available high-efficiency models. ","")&amp;IF(AND(F25&lt;&gt;"", F26&lt;&gt;"",SUM(F25:G26)&lt;&gt;1,'DB-Utilities'!AF5=TRUE), "Number of occupants using dishwashers does not match number of occupants at property. ", "")&amp;IF(OR(E25="",COUNTA('Input-EWEMs'!$D$12:$D$41)=0),"",IF(E25&lt;&gt;SUMIF('Input-EWEMs'!$E$12:$E$41,MeasureList!$B$3,'Input-EWEMs'!$H$12:$H$41),"Quantity of modeled dishwasher replacements does not match quantity in EWEM in Input-EWEMs tab. ",""))</f>
        <v/>
      </c>
      <c r="P25" s="225"/>
    </row>
    <row r="26" spans="2:16" ht="15" customHeight="1" x14ac:dyDescent="0.2">
      <c r="C26" s="940"/>
      <c r="D26" s="380" t="s">
        <v>335</v>
      </c>
      <c r="E26" s="404">
        <v>0</v>
      </c>
      <c r="F26" s="948">
        <f>IF(AND(ISNUMBER(E26),E26=0), 0, IF(F25="","",1-F25))</f>
        <v>0</v>
      </c>
      <c r="G26" s="949"/>
      <c r="H26" s="398">
        <v>0</v>
      </c>
      <c r="I26" s="405" t="s">
        <v>168</v>
      </c>
      <c r="J26" s="376">
        <f>IF(H26="","", H26)</f>
        <v>0</v>
      </c>
      <c r="K26" s="406" t="s">
        <v>168</v>
      </c>
      <c r="L26" s="225"/>
      <c r="O26" s="938"/>
    </row>
    <row r="27" spans="2:16" s="225" customFormat="1" ht="11" x14ac:dyDescent="0.15"/>
    <row r="28" spans="2:16" s="225" customFormat="1" ht="11" x14ac:dyDescent="0.15"/>
    <row r="29" spans="2:16" s="225" customFormat="1" ht="13" x14ac:dyDescent="0.2">
      <c r="B29" s="90" t="s">
        <v>344</v>
      </c>
    </row>
    <row r="30" spans="2:16" s="225" customFormat="1" ht="40.25" customHeight="1" x14ac:dyDescent="0.15">
      <c r="B30" s="888" t="s">
        <v>345</v>
      </c>
      <c r="C30" s="888"/>
      <c r="D30" s="888"/>
      <c r="E30" s="888"/>
      <c r="F30" s="888"/>
      <c r="G30" s="888"/>
      <c r="H30" s="888"/>
      <c r="I30" s="888"/>
      <c r="J30" s="888"/>
      <c r="K30" s="888"/>
      <c r="L30" s="888"/>
      <c r="M30" s="888"/>
    </row>
    <row r="31" spans="2:16" s="225" customFormat="1" ht="6" customHeight="1" x14ac:dyDescent="0.15"/>
    <row r="32" spans="2:16" s="225" customFormat="1" ht="15" customHeight="1" x14ac:dyDescent="0.15">
      <c r="C32" s="921" t="s">
        <v>329</v>
      </c>
      <c r="D32" s="922"/>
      <c r="E32" s="929" t="s">
        <v>346</v>
      </c>
      <c r="F32" s="930"/>
      <c r="G32" s="930"/>
      <c r="H32" s="931"/>
      <c r="O32" s="886" t="s">
        <v>258</v>
      </c>
    </row>
    <row r="33" spans="2:17" s="225" customFormat="1" ht="15" customHeight="1" thickBot="1" x14ac:dyDescent="0.2">
      <c r="C33" s="923"/>
      <c r="D33" s="924"/>
      <c r="E33" s="915" t="s">
        <v>259</v>
      </c>
      <c r="F33" s="915"/>
      <c r="G33" s="915" t="s">
        <v>260</v>
      </c>
      <c r="H33" s="906"/>
      <c r="O33" s="887" t="s">
        <v>258</v>
      </c>
    </row>
    <row r="34" spans="2:17" s="225" customFormat="1" ht="15" customHeight="1" thickTop="1" x14ac:dyDescent="0.15">
      <c r="C34" s="408" t="s">
        <v>333</v>
      </c>
      <c r="D34" s="409"/>
      <c r="E34" s="408">
        <v>4</v>
      </c>
      <c r="F34" s="729" t="s">
        <v>347</v>
      </c>
      <c r="G34" s="410"/>
      <c r="H34" s="411" t="s">
        <v>347</v>
      </c>
      <c r="O34" s="747" t="str">
        <f>IF(G34&gt;E34,UPPER(LEFT(C34,1))&amp;LOWER(RIGHT(C34,LEN(C34)-1))&amp;" usage is assumed to be higher than typical. ","")</f>
        <v/>
      </c>
    </row>
    <row r="35" spans="2:17" s="225" customFormat="1" ht="15" customHeight="1" x14ac:dyDescent="0.15">
      <c r="C35" s="727" t="s">
        <v>337</v>
      </c>
      <c r="D35" s="412"/>
      <c r="E35" s="408">
        <v>2</v>
      </c>
      <c r="F35" s="412" t="s">
        <v>347</v>
      </c>
      <c r="G35" s="413"/>
      <c r="H35" s="728" t="s">
        <v>347</v>
      </c>
      <c r="O35" s="747" t="str">
        <f t="shared" ref="O35:O40" si="0">IF(G35&gt;E35,UPPER(LEFT(C35,1))&amp;LOWER(RIGHT(C35,LEN(C35)-1))&amp;" usage is assumed to be higher than typical. ","")</f>
        <v/>
      </c>
    </row>
    <row r="36" spans="2:17" s="225" customFormat="1" ht="15" customHeight="1" x14ac:dyDescent="0.15">
      <c r="C36" s="727" t="s">
        <v>338</v>
      </c>
      <c r="D36" s="412"/>
      <c r="E36" s="408">
        <v>8</v>
      </c>
      <c r="F36" s="412" t="s">
        <v>347</v>
      </c>
      <c r="G36" s="413"/>
      <c r="H36" s="728" t="s">
        <v>347</v>
      </c>
      <c r="O36" s="747" t="str">
        <f t="shared" si="0"/>
        <v/>
      </c>
      <c r="Q36" s="366"/>
    </row>
    <row r="37" spans="2:17" s="225" customFormat="1" ht="15" customHeight="1" x14ac:dyDescent="0.15">
      <c r="C37" s="727" t="s">
        <v>339</v>
      </c>
      <c r="D37" s="412"/>
      <c r="E37" s="408">
        <v>5</v>
      </c>
      <c r="F37" s="412" t="s">
        <v>348</v>
      </c>
      <c r="G37" s="413"/>
      <c r="H37" s="728" t="s">
        <v>348</v>
      </c>
      <c r="O37" s="747" t="str">
        <f t="shared" si="0"/>
        <v/>
      </c>
      <c r="Q37" s="366"/>
    </row>
    <row r="38" spans="2:17" s="225" customFormat="1" ht="15" customHeight="1" x14ac:dyDescent="0.15">
      <c r="C38" s="727" t="s">
        <v>341</v>
      </c>
      <c r="D38" s="412"/>
      <c r="E38" s="414">
        <v>0.4</v>
      </c>
      <c r="F38" s="412" t="s">
        <v>349</v>
      </c>
      <c r="G38" s="413"/>
      <c r="H38" s="728" t="s">
        <v>349</v>
      </c>
      <c r="O38" s="747" t="str">
        <f t="shared" si="0"/>
        <v/>
      </c>
      <c r="Q38" s="366"/>
    </row>
    <row r="39" spans="2:17" s="225" customFormat="1" ht="15" customHeight="1" x14ac:dyDescent="0.15">
      <c r="C39" s="727" t="s">
        <v>342</v>
      </c>
      <c r="D39" s="412"/>
      <c r="E39" s="727">
        <v>0.2</v>
      </c>
      <c r="F39" s="412" t="s">
        <v>349</v>
      </c>
      <c r="G39" s="413"/>
      <c r="H39" s="728" t="s">
        <v>349</v>
      </c>
      <c r="O39" s="747" t="str">
        <f t="shared" si="0"/>
        <v/>
      </c>
      <c r="Q39" s="366"/>
    </row>
    <row r="40" spans="2:17" s="225" customFormat="1" ht="15" customHeight="1" x14ac:dyDescent="0.15">
      <c r="C40" s="415" t="s">
        <v>343</v>
      </c>
      <c r="D40" s="416"/>
      <c r="E40" s="415">
        <v>0.2</v>
      </c>
      <c r="F40" s="416" t="s">
        <v>350</v>
      </c>
      <c r="G40" s="417"/>
      <c r="H40" s="418" t="s">
        <v>350</v>
      </c>
      <c r="O40" s="748" t="str">
        <f t="shared" si="0"/>
        <v/>
      </c>
    </row>
    <row r="41" spans="2:17" s="225" customFormat="1" ht="15" customHeight="1" x14ac:dyDescent="0.15">
      <c r="O41" s="407"/>
      <c r="Q41" s="419"/>
    </row>
    <row r="42" spans="2:17" s="225" customFormat="1" ht="16.5" customHeight="1" x14ac:dyDescent="0.15">
      <c r="C42" s="925" t="s">
        <v>351</v>
      </c>
      <c r="D42" s="926"/>
      <c r="E42" s="916">
        <v>0.75</v>
      </c>
      <c r="O42" s="407"/>
    </row>
    <row r="43" spans="2:17" s="225" customFormat="1" ht="15" customHeight="1" x14ac:dyDescent="0.15">
      <c r="C43" s="927"/>
      <c r="D43" s="928"/>
      <c r="E43" s="916"/>
      <c r="O43" s="407"/>
    </row>
    <row r="44" spans="2:17" s="225" customFormat="1" ht="11" x14ac:dyDescent="0.15">
      <c r="E44" s="420"/>
      <c r="O44" s="407"/>
    </row>
    <row r="45" spans="2:17" s="225" customFormat="1" ht="11" x14ac:dyDescent="0.15">
      <c r="O45" s="407"/>
    </row>
    <row r="46" spans="2:17" s="225" customFormat="1" ht="18" customHeight="1" thickBot="1" x14ac:dyDescent="0.3">
      <c r="B46" s="207" t="s">
        <v>352</v>
      </c>
      <c r="C46" s="365"/>
      <c r="D46" s="365"/>
      <c r="E46" s="365"/>
      <c r="F46" s="365"/>
      <c r="G46" s="365"/>
      <c r="H46" s="365"/>
      <c r="I46" s="365"/>
      <c r="J46" s="365"/>
      <c r="K46" s="365"/>
      <c r="L46" s="365"/>
      <c r="M46" s="365"/>
    </row>
    <row r="47" spans="2:17" ht="19.5" customHeight="1" x14ac:dyDescent="0.2">
      <c r="B47" s="730" t="s">
        <v>353</v>
      </c>
    </row>
    <row r="48" spans="2:17" ht="9.75" customHeight="1" x14ac:dyDescent="0.2">
      <c r="C48" s="421"/>
      <c r="D48" s="421"/>
    </row>
    <row r="49" spans="3:16" ht="14.25" customHeight="1" x14ac:dyDescent="0.2">
      <c r="C49" s="903"/>
      <c r="D49" s="904"/>
      <c r="E49" s="929" t="s">
        <v>354</v>
      </c>
      <c r="F49" s="930"/>
      <c r="G49" s="929" t="s">
        <v>355</v>
      </c>
      <c r="H49" s="930"/>
      <c r="I49" s="929" t="s">
        <v>356</v>
      </c>
      <c r="J49" s="930"/>
      <c r="K49" s="919" t="s">
        <v>357</v>
      </c>
      <c r="L49" s="919" t="s">
        <v>358</v>
      </c>
      <c r="O49" s="886" t="s">
        <v>258</v>
      </c>
    </row>
    <row r="50" spans="3:16" ht="15.75" customHeight="1" thickBot="1" x14ac:dyDescent="0.25">
      <c r="C50" s="905" t="s">
        <v>359</v>
      </c>
      <c r="D50" s="906"/>
      <c r="E50" s="973" t="s">
        <v>360</v>
      </c>
      <c r="F50" s="974"/>
      <c r="G50" s="973" t="s">
        <v>360</v>
      </c>
      <c r="H50" s="974"/>
      <c r="I50" s="973" t="s">
        <v>360</v>
      </c>
      <c r="J50" s="974"/>
      <c r="K50" s="920"/>
      <c r="L50" s="920"/>
      <c r="O50" s="887" t="s">
        <v>258</v>
      </c>
    </row>
    <row r="51" spans="3:16" s="225" customFormat="1" ht="15" customHeight="1" thickTop="1" x14ac:dyDescent="0.2">
      <c r="C51" s="913" t="str">
        <f>C13</f>
        <v>Kitchen Faucet</v>
      </c>
      <c r="D51" s="914"/>
      <c r="E51" s="975">
        <f>IFERROR('DB-Properties'!$N$2*365*(F13*H13+F14*H14)*IF(G34="",E34,G34),"")</f>
        <v>1534752</v>
      </c>
      <c r="F51" s="976"/>
      <c r="G51" s="975">
        <f>IFERROR('DB-Properties'!$N$2*365*IF(G34="",E34,G34)*((F14*J14)+(F13*(J13*$E$42+H13*(1-$E$42)))),"")</f>
        <v>1103103</v>
      </c>
      <c r="H51" s="976"/>
      <c r="I51" s="975">
        <f>IFERROR(E51-G51,"")</f>
        <v>431649</v>
      </c>
      <c r="J51" s="976"/>
      <c r="K51" s="422">
        <f t="shared" ref="K51:K62" si="1">IFERROR((G51-E51)/E51, "")</f>
        <v>-0.28125</v>
      </c>
      <c r="L51" s="628">
        <f t="shared" ref="L51:L57" si="2">IFERROR((G51-E51)/$E$64, "")</f>
        <v>-5.6515322476535582E-2</v>
      </c>
      <c r="O51" s="970" t="str">
        <f>IFERROR(IF(ROUND(ABS(E63/E64)*100,0)&gt;10, "Calculated consumption differs from reported water utility consumption by over 10%. ",""),"")&amp;IFERROR(IF(ABS(-K64-'Input-EWEMs'!AJ42)&gt;0.02, "Total modeled water savings percent has &gt;2% difference from total EWEM water savings percent in Input-EWEMs tab. ",""),"")</f>
        <v/>
      </c>
      <c r="P51" s="92"/>
    </row>
    <row r="52" spans="3:16" s="225" customFormat="1" ht="15" customHeight="1" x14ac:dyDescent="0.2">
      <c r="C52" s="911" t="str">
        <f>C15</f>
        <v>Bathroom Faucet</v>
      </c>
      <c r="D52" s="912"/>
      <c r="E52" s="932">
        <f>IFERROR('DB-Properties'!$N$2*365*(F15*H15+F16*H16)*IF(G35="",E35,G35),"")</f>
        <v>652269.6</v>
      </c>
      <c r="F52" s="933"/>
      <c r="G52" s="932">
        <f>IFERROR('DB-Properties'!$N$2*365*IF(G35="",E35,G35)*((F16*J16)+(F15*(J15*$E$42+H15*(1-$E$42)))),"")</f>
        <v>402872.4</v>
      </c>
      <c r="H52" s="933"/>
      <c r="I52" s="932">
        <f t="shared" ref="I52:I57" si="3">IFERROR(E52-G52,"")</f>
        <v>249397.19999999995</v>
      </c>
      <c r="J52" s="933"/>
      <c r="K52" s="423">
        <f t="shared" si="1"/>
        <v>-0.38235294117647051</v>
      </c>
      <c r="L52" s="628">
        <f t="shared" si="2"/>
        <v>-3.265329743088722E-2</v>
      </c>
      <c r="O52" s="971"/>
      <c r="P52" s="92"/>
    </row>
    <row r="53" spans="3:16" ht="15" customHeight="1" x14ac:dyDescent="0.2">
      <c r="C53" s="911" t="str">
        <f>C17</f>
        <v>Showerhead</v>
      </c>
      <c r="D53" s="912"/>
      <c r="E53" s="932">
        <f>IFERROR((F17*H17+F18*H18)*'DB-Properties'!$N$2*IF(G36="",E36,G36)*365,"")</f>
        <v>2877660</v>
      </c>
      <c r="F53" s="933"/>
      <c r="G53" s="932">
        <f>IFERROR('DB-Properties'!$N$2*365*IF(G36="",E36,G36)*((F18*J18)+(F17*(J17*$E$42+H17*(1-$E$42)))),"")</f>
        <v>2158245</v>
      </c>
      <c r="H53" s="933"/>
      <c r="I53" s="932">
        <f t="shared" si="3"/>
        <v>719415</v>
      </c>
      <c r="J53" s="933"/>
      <c r="K53" s="423">
        <f t="shared" si="1"/>
        <v>-0.25</v>
      </c>
      <c r="L53" s="628">
        <f t="shared" si="2"/>
        <v>-9.4192204127559298E-2</v>
      </c>
      <c r="O53" s="971"/>
    </row>
    <row r="54" spans="3:16" ht="15" customHeight="1" x14ac:dyDescent="0.2">
      <c r="C54" s="911" t="str">
        <f>C19</f>
        <v>Toilet</v>
      </c>
      <c r="D54" s="912"/>
      <c r="E54" s="932">
        <f>IFERROR((F19*H19+F20*H20)*'DB-Properties'!$N$2*IF(G37="",E37,G37)*365,"")</f>
        <v>2030349.0000000002</v>
      </c>
      <c r="F54" s="933"/>
      <c r="G54" s="932">
        <f>IFERROR((F19*J19+F20*J20)*'DB-Properties'!$N$2*IF(G37="",E37,G37)*365,"")</f>
        <v>639480.00000000012</v>
      </c>
      <c r="H54" s="933"/>
      <c r="I54" s="932">
        <f t="shared" si="3"/>
        <v>1390869</v>
      </c>
      <c r="J54" s="933"/>
      <c r="K54" s="423">
        <f t="shared" si="1"/>
        <v>-0.68503937007874005</v>
      </c>
      <c r="L54" s="628">
        <f t="shared" si="2"/>
        <v>-0.18210492797994798</v>
      </c>
      <c r="O54" s="972"/>
    </row>
    <row r="55" spans="3:16" ht="15" customHeight="1" x14ac:dyDescent="0.2">
      <c r="C55" s="907" t="s">
        <v>361</v>
      </c>
      <c r="D55" s="908"/>
      <c r="E55" s="932">
        <f>IF(COUNT(F21:H22)=0,"",IFERROR((F21*H21+F22*H22)*'DB-Properties'!$N$2*IF(G38="",E38,G38)*365,""))</f>
        <v>0</v>
      </c>
      <c r="F55" s="933"/>
      <c r="G55" s="932">
        <f>IFERROR( (F21*J21+F22*J22)*'DB-Properties'!$N$2*IF(G38="",E38,G38)*365,"")</f>
        <v>0</v>
      </c>
      <c r="H55" s="933"/>
      <c r="I55" s="932">
        <f t="shared" si="3"/>
        <v>0</v>
      </c>
      <c r="J55" s="933"/>
      <c r="K55" s="422" t="str">
        <f t="shared" si="1"/>
        <v/>
      </c>
      <c r="L55" s="628">
        <f t="shared" si="2"/>
        <v>0</v>
      </c>
    </row>
    <row r="56" spans="3:16" ht="15" customHeight="1" x14ac:dyDescent="0.2">
      <c r="C56" s="907" t="s">
        <v>362</v>
      </c>
      <c r="D56" s="908"/>
      <c r="E56" s="932">
        <f>IF(COUNT(F23:H24)=0,"",IFERROR((F23*H23+F24*H24)*'DB-Properties'!$N$2*IF(G39="",E39,G39)*365,""))</f>
        <v>639480</v>
      </c>
      <c r="F56" s="933"/>
      <c r="G56" s="932">
        <f>IFERROR( (F23*J23+F24*J24)*'DB-Properties'!$N$2*IF(G39="",E39,G39)*365,"")</f>
        <v>639480</v>
      </c>
      <c r="H56" s="933"/>
      <c r="I56" s="932">
        <f t="shared" si="3"/>
        <v>0</v>
      </c>
      <c r="J56" s="933"/>
      <c r="K56" s="422">
        <f t="shared" si="1"/>
        <v>0</v>
      </c>
      <c r="L56" s="628">
        <f t="shared" si="2"/>
        <v>0</v>
      </c>
    </row>
    <row r="57" spans="3:16" ht="15" customHeight="1" x14ac:dyDescent="0.2">
      <c r="C57" s="907" t="s">
        <v>167</v>
      </c>
      <c r="D57" s="908"/>
      <c r="E57" s="932">
        <f>IFERROR((F25*H25+F26*H26)*'DB-Properties'!$N$2*IF(G40="",E40,G40)*365,"")</f>
        <v>191844</v>
      </c>
      <c r="F57" s="933"/>
      <c r="G57" s="932">
        <f>IFERROR( (F25*J25+F26*J26)*'DB-Properties'!$N$2*IF(G40="",E40,G40)*365,"")</f>
        <v>111909.00000000001</v>
      </c>
      <c r="H57" s="933"/>
      <c r="I57" s="932">
        <f t="shared" si="3"/>
        <v>79934.999999999985</v>
      </c>
      <c r="J57" s="933"/>
      <c r="K57" s="422">
        <f t="shared" si="1"/>
        <v>-0.41666666666666657</v>
      </c>
      <c r="L57" s="628">
        <f t="shared" si="2"/>
        <v>-1.0465800458617698E-2</v>
      </c>
      <c r="O57" s="424"/>
    </row>
    <row r="58" spans="3:16" ht="15" customHeight="1" x14ac:dyDescent="0.2">
      <c r="C58" s="907" t="s">
        <v>311</v>
      </c>
      <c r="D58" s="908"/>
      <c r="E58" s="934">
        <f>IF('Input-Utilities'!F44="","",'Input-Utilities'!F44*INDEX(Assumptions!$D$20:$D$23,MATCH('Input-Utilities'!J44,Assumptions!$C$20:$C$23,0)))</f>
        <v>1224</v>
      </c>
      <c r="F58" s="935"/>
      <c r="G58" s="917">
        <v>1224</v>
      </c>
      <c r="H58" s="936"/>
      <c r="I58" s="932">
        <f>IF(AND(E58="",G58=""),"",IFERROR(E58-G58,""))</f>
        <v>0</v>
      </c>
      <c r="J58" s="933"/>
      <c r="K58" s="422">
        <f t="shared" si="1"/>
        <v>0</v>
      </c>
      <c r="L58" s="628">
        <f>IF(AND(E58="",G58=""),"",IFERROR((G58-E58)/$E$64, ""))</f>
        <v>0</v>
      </c>
    </row>
    <row r="59" spans="3:16" ht="15" customHeight="1" x14ac:dyDescent="0.2">
      <c r="C59" s="909" t="s">
        <v>744</v>
      </c>
      <c r="D59" s="910"/>
      <c r="E59" s="917">
        <v>234529</v>
      </c>
      <c r="F59" s="918"/>
      <c r="G59" s="917">
        <v>234529</v>
      </c>
      <c r="H59" s="936"/>
      <c r="I59" s="932">
        <f t="shared" ref="I59:I62" si="4">IF(AND(E59="",G59=""),"",IFERROR(E59-G59,""))</f>
        <v>0</v>
      </c>
      <c r="J59" s="933"/>
      <c r="K59" s="423">
        <f t="shared" si="1"/>
        <v>0</v>
      </c>
      <c r="L59" s="628">
        <f t="shared" ref="L59:L62" si="5">IF(AND(E59="",G59=""),"",IFERROR((G59-E59)/$E$64, ""))</f>
        <v>0</v>
      </c>
    </row>
    <row r="60" spans="3:16" ht="15" customHeight="1" x14ac:dyDescent="0.2">
      <c r="C60" s="909"/>
      <c r="D60" s="910"/>
      <c r="E60" s="917"/>
      <c r="F60" s="936"/>
      <c r="G60" s="917"/>
      <c r="H60" s="936"/>
      <c r="I60" s="932" t="str">
        <f t="shared" si="4"/>
        <v/>
      </c>
      <c r="J60" s="933"/>
      <c r="K60" s="423" t="str">
        <f t="shared" si="1"/>
        <v/>
      </c>
      <c r="L60" s="628" t="str">
        <f t="shared" si="5"/>
        <v/>
      </c>
    </row>
    <row r="61" spans="3:16" ht="15" customHeight="1" x14ac:dyDescent="0.2">
      <c r="C61" s="909"/>
      <c r="D61" s="910"/>
      <c r="E61" s="917"/>
      <c r="F61" s="936"/>
      <c r="G61" s="917"/>
      <c r="H61" s="936"/>
      <c r="I61" s="932" t="str">
        <f t="shared" si="4"/>
        <v/>
      </c>
      <c r="J61" s="933"/>
      <c r="K61" s="423" t="str">
        <f t="shared" si="1"/>
        <v/>
      </c>
      <c r="L61" s="628" t="str">
        <f t="shared" si="5"/>
        <v/>
      </c>
    </row>
    <row r="62" spans="3:16" ht="15" customHeight="1" x14ac:dyDescent="0.2">
      <c r="C62" s="909"/>
      <c r="D62" s="910"/>
      <c r="E62" s="917"/>
      <c r="F62" s="936"/>
      <c r="G62" s="917"/>
      <c r="H62" s="936"/>
      <c r="I62" s="932" t="str">
        <f t="shared" si="4"/>
        <v/>
      </c>
      <c r="J62" s="933"/>
      <c r="K62" s="423" t="str">
        <f t="shared" si="1"/>
        <v/>
      </c>
      <c r="L62" s="628" t="str">
        <f t="shared" si="5"/>
        <v/>
      </c>
    </row>
    <row r="63" spans="3:16" ht="15" customHeight="1" x14ac:dyDescent="0.2">
      <c r="C63" s="899" t="str">
        <f>"Difference from Bills ("&amp;IFERROR(ROUND(E63/E64*100,0),"--")&amp;"%)"</f>
        <v>Difference from Bills (-7%)</v>
      </c>
      <c r="D63" s="900"/>
      <c r="E63" s="979">
        <f>IFERROR(E64-SUM(E51:F62), "")</f>
        <v>-524373.59999999963</v>
      </c>
      <c r="F63" s="980"/>
      <c r="G63" s="979">
        <f>E63</f>
        <v>-524373.59999999963</v>
      </c>
      <c r="H63" s="980"/>
      <c r="I63" s="979">
        <f>IFERROR(E63-G63,"")</f>
        <v>0</v>
      </c>
      <c r="J63" s="980"/>
      <c r="K63" s="425" t="s">
        <v>279</v>
      </c>
      <c r="L63" s="629" t="s">
        <v>279</v>
      </c>
    </row>
    <row r="64" spans="3:16" x14ac:dyDescent="0.2">
      <c r="C64" s="901" t="s">
        <v>363</v>
      </c>
      <c r="D64" s="902"/>
      <c r="E64" s="968">
        <f>IFERROR('Input-Utilities'!N15*1000,"")</f>
        <v>7637734</v>
      </c>
      <c r="F64" s="969"/>
      <c r="G64" s="968">
        <f>SUM(G51:H63)</f>
        <v>4766468.8000000007</v>
      </c>
      <c r="H64" s="969"/>
      <c r="I64" s="968">
        <f>IFERROR(E64-G64,"")</f>
        <v>2871265.1999999993</v>
      </c>
      <c r="J64" s="969"/>
      <c r="K64" s="977">
        <f>IFERROR((G64-E64)/E64, "")</f>
        <v>-0.3759315524735477</v>
      </c>
      <c r="L64" s="978"/>
    </row>
    <row r="66" spans="3:10" ht="15" customHeight="1" thickBot="1" x14ac:dyDescent="0.25">
      <c r="C66" s="872" t="s">
        <v>364</v>
      </c>
      <c r="D66" s="873"/>
      <c r="E66" s="873"/>
      <c r="F66" s="873"/>
      <c r="G66" s="873"/>
      <c r="H66" s="873"/>
      <c r="I66" s="873"/>
      <c r="J66" s="981"/>
    </row>
    <row r="67" spans="3:10" ht="31.25" customHeight="1" thickTop="1" x14ac:dyDescent="0.2">
      <c r="C67" s="982"/>
      <c r="D67" s="983"/>
      <c r="E67" s="983"/>
      <c r="F67" s="983"/>
      <c r="G67" s="983"/>
      <c r="H67" s="983"/>
      <c r="I67" s="983"/>
      <c r="J67" s="984"/>
    </row>
  </sheetData>
  <sheetProtection algorithmName="SHA-512" hashValue="LFQx0HnRKCkXPHJXsaqjuTtxViaHXdJjhy9kONSbRHBpGSDpB9C+fHXbZQvLMQ3efmba27TOIbmzYxOzyUB6Yg==" saltValue="UYgaes/C07fKwij1Fctozw==" spinCount="100000" sheet="1" objects="1" scenarios="1"/>
  <mergeCells count="114">
    <mergeCell ref="O32:O33"/>
    <mergeCell ref="B30:M30"/>
    <mergeCell ref="C66:J66"/>
    <mergeCell ref="C67:J67"/>
    <mergeCell ref="E63:F63"/>
    <mergeCell ref="E64:F64"/>
    <mergeCell ref="G49:H49"/>
    <mergeCell ref="G50:H50"/>
    <mergeCell ref="G51:H51"/>
    <mergeCell ref="G52:H52"/>
    <mergeCell ref="G53:H53"/>
    <mergeCell ref="G54:H54"/>
    <mergeCell ref="I63:J63"/>
    <mergeCell ref="I64:J64"/>
    <mergeCell ref="I49:J49"/>
    <mergeCell ref="I50:J50"/>
    <mergeCell ref="I51:J51"/>
    <mergeCell ref="I52:J52"/>
    <mergeCell ref="I53:J53"/>
    <mergeCell ref="I54:J54"/>
    <mergeCell ref="I55:J55"/>
    <mergeCell ref="I56:J56"/>
    <mergeCell ref="I57:J57"/>
    <mergeCell ref="I59:J59"/>
    <mergeCell ref="I60:J60"/>
    <mergeCell ref="I61:J61"/>
    <mergeCell ref="I62:J62"/>
    <mergeCell ref="G64:H64"/>
    <mergeCell ref="G59:H59"/>
    <mergeCell ref="E54:F54"/>
    <mergeCell ref="E55:F55"/>
    <mergeCell ref="O51:O54"/>
    <mergeCell ref="E49:F49"/>
    <mergeCell ref="E50:F50"/>
    <mergeCell ref="E51:F51"/>
    <mergeCell ref="E52:F52"/>
    <mergeCell ref="E53:F53"/>
    <mergeCell ref="O49:O50"/>
    <mergeCell ref="K49:K50"/>
    <mergeCell ref="K64:L64"/>
    <mergeCell ref="E60:F60"/>
    <mergeCell ref="E61:F61"/>
    <mergeCell ref="G60:H60"/>
    <mergeCell ref="G61:H61"/>
    <mergeCell ref="G62:H62"/>
    <mergeCell ref="G63:H63"/>
    <mergeCell ref="E62:F62"/>
    <mergeCell ref="B4:M4"/>
    <mergeCell ref="F21:G21"/>
    <mergeCell ref="F23:G23"/>
    <mergeCell ref="C11:D12"/>
    <mergeCell ref="J11:K12"/>
    <mergeCell ref="H11:I12"/>
    <mergeCell ref="F24:G24"/>
    <mergeCell ref="F26:G26"/>
    <mergeCell ref="E11:E12"/>
    <mergeCell ref="F11:G12"/>
    <mergeCell ref="F13:G13"/>
    <mergeCell ref="F14:G14"/>
    <mergeCell ref="B9:M9"/>
    <mergeCell ref="O11:O12"/>
    <mergeCell ref="O21:O24"/>
    <mergeCell ref="O25:O26"/>
    <mergeCell ref="O19:O20"/>
    <mergeCell ref="O15:O16"/>
    <mergeCell ref="O17:O18"/>
    <mergeCell ref="O13:O14"/>
    <mergeCell ref="C17:C18"/>
    <mergeCell ref="C15:C16"/>
    <mergeCell ref="C13:C14"/>
    <mergeCell ref="F15:G15"/>
    <mergeCell ref="F16:G16"/>
    <mergeCell ref="F17:G17"/>
    <mergeCell ref="F18:G18"/>
    <mergeCell ref="F20:G20"/>
    <mergeCell ref="C25:C26"/>
    <mergeCell ref="C23:C24"/>
    <mergeCell ref="C21:C22"/>
    <mergeCell ref="C19:C20"/>
    <mergeCell ref="F19:G19"/>
    <mergeCell ref="F22:G22"/>
    <mergeCell ref="F25:G25"/>
    <mergeCell ref="E33:F33"/>
    <mergeCell ref="G33:H33"/>
    <mergeCell ref="E42:E43"/>
    <mergeCell ref="E59:F59"/>
    <mergeCell ref="C59:D59"/>
    <mergeCell ref="L49:L50"/>
    <mergeCell ref="C32:D33"/>
    <mergeCell ref="C42:D43"/>
    <mergeCell ref="E32:H32"/>
    <mergeCell ref="I58:J58"/>
    <mergeCell ref="E56:F56"/>
    <mergeCell ref="E57:F57"/>
    <mergeCell ref="E58:F58"/>
    <mergeCell ref="G55:H55"/>
    <mergeCell ref="G56:H56"/>
    <mergeCell ref="G57:H57"/>
    <mergeCell ref="G58:H58"/>
    <mergeCell ref="C63:D63"/>
    <mergeCell ref="C64:D64"/>
    <mergeCell ref="C49:D49"/>
    <mergeCell ref="C50:D50"/>
    <mergeCell ref="C58:D58"/>
    <mergeCell ref="C60:D60"/>
    <mergeCell ref="C61:D61"/>
    <mergeCell ref="C62:D62"/>
    <mergeCell ref="C53:D53"/>
    <mergeCell ref="C54:D54"/>
    <mergeCell ref="C55:D55"/>
    <mergeCell ref="C56:D56"/>
    <mergeCell ref="C57:D57"/>
    <mergeCell ref="C51:D51"/>
    <mergeCell ref="C52:D52"/>
  </mergeCells>
  <conditionalFormatting sqref="C67">
    <cfRule type="expression" dxfId="18" priority="2">
      <formula>AND($C67="",COUNTIF($C$59:$C$62,"Other")&gt;0)</formula>
    </cfRule>
  </conditionalFormatting>
  <conditionalFormatting sqref="C66:J67">
    <cfRule type="expression" dxfId="17" priority="1">
      <formula>COUNTIF($C$59:$D$62,"Other")=0</formula>
    </cfRule>
  </conditionalFormatting>
  <conditionalFormatting sqref="E13:H26">
    <cfRule type="expression" dxfId="16" priority="4">
      <formula>E13=""</formula>
    </cfRule>
  </conditionalFormatting>
  <conditionalFormatting sqref="G58:G62 E59:E62">
    <cfRule type="expression" dxfId="15" priority="14">
      <formula>AND($C58&lt;&gt;"", E58="")</formula>
    </cfRule>
  </conditionalFormatting>
  <conditionalFormatting sqref="J13 J15 J17 J19 J21 J23 J25">
    <cfRule type="expression" dxfId="14" priority="13">
      <formula>J13=""</formula>
    </cfRule>
  </conditionalFormatting>
  <dataValidations xWindow="1331" yWindow="279" count="3">
    <dataValidation type="list" allowBlank="1" showInputMessage="1" showErrorMessage="1" sqref="C17 C15 C13" xr:uid="{00000000-0002-0000-0700-000000000000}">
      <formula1>$B$58:$B$61</formula1>
    </dataValidation>
    <dataValidation type="decimal" operator="greaterThanOrEqual" allowBlank="1" showInputMessage="1" showErrorMessage="1" sqref="E13:H26 J25 G34:G40 J23 J19 J21" xr:uid="{00000000-0002-0000-0700-000001000000}">
      <formula1>0</formula1>
    </dataValidation>
    <dataValidation type="decimal" operator="lessThan" allowBlank="1" showInputMessage="1" showErrorMessage="1" sqref="E59:H62 G58:H58" xr:uid="{693A372A-4503-4C81-9B1D-CC8B788C4476}">
      <formula1>$E$64</formula1>
    </dataValidation>
  </dataValidations>
  <pageMargins left="0.7" right="0.7" top="0.75" bottom="0.75" header="0.3" footer="0.3"/>
  <pageSetup paperSize="5" scale="84" orientation="landscape" r:id="rId1"/>
  <headerFooter>
    <oddFooter>&amp;L&amp;"Source Sans Pro,Regular"&amp;8© 2023 Fannie Mae. Trademarks of Fannie Mae._x000D_&amp;1#&amp;"Calibri"&amp;10&amp;K000000 Fannie Mae Confidential&amp;C&amp;"Source Sans Pro,Regular"&amp;8Form 4099.H - October 2023&amp;R&amp;"Source Sans Pro,Regular"&amp;8Page &amp;P of &amp;N</oddFooter>
  </headerFooter>
  <legacyDrawing r:id="rId2"/>
  <extLst>
    <ext xmlns:x14="http://schemas.microsoft.com/office/spreadsheetml/2009/9/main" uri="{CCE6A557-97BC-4b89-ADB6-D9C93CAAB3DF}">
      <x14:dataValidations xmlns:xm="http://schemas.microsoft.com/office/excel/2006/main" xWindow="1331" yWindow="279" count="5">
        <x14:dataValidation type="list" allowBlank="1" showInputMessage="1" showErrorMessage="1" xr:uid="{00000000-0002-0000-0700-000004000000}">
          <x14:formula1>
            <xm:f>Dropdowns!$O$3:$O$8</xm:f>
          </x14:formula1>
          <xm:sqref>C59:D62</xm:sqref>
        </x14:dataValidation>
        <x14:dataValidation type="list" allowBlank="1" showInputMessage="1" showErrorMessage="1" xr:uid="{00000000-0002-0000-0700-000003000000}">
          <x14:formula1>
            <xm:f>Assumptions!$B$37:$B$40</xm:f>
          </x14:formula1>
          <xm:sqref>C19</xm:sqref>
        </x14:dataValidation>
        <x14:dataValidation type="decimal" operator="greaterThanOrEqual" allowBlank="1" showInputMessage="1" showErrorMessage="1" error="Flow rates less than 1.5 GPM not permitted for this EWEM." xr:uid="{F4B3D0C7-DEB3-474C-9DB1-64ECB19AB2D7}">
          <x14:formula1>
            <xm:f>'QC Ranges'!D36</xm:f>
          </x14:formula1>
          <xm:sqref>J13</xm:sqref>
        </x14:dataValidation>
        <x14:dataValidation type="decimal" operator="greaterThanOrEqual" allowBlank="1" showInputMessage="1" showErrorMessage="1" error="Flow rates less than 0.8 GPM not permitted for this EWEM. Faucets/aerators must be WaterSense labeled." xr:uid="{BE76B74F-2150-4E6F-87A2-D91EEFFC22BF}">
          <x14:formula1>
            <xm:f>'QC Ranges'!D35</xm:f>
          </x14:formula1>
          <xm:sqref>J15</xm:sqref>
        </x14:dataValidation>
        <x14:dataValidation type="decimal" operator="greaterThanOrEqual" allowBlank="1" showInputMessage="1" showErrorMessage="1" error="Flow rates less than 1 GPM not permitted for this EWEM. Faucets/aerators must be WaterSense labeled." xr:uid="{A755FCFD-5314-4A2E-AC6E-95878BF96223}">
          <x14:formula1>
            <xm:f>'QC Ranges'!D37</xm:f>
          </x14:formula1>
          <xm:sqref>J17</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
    <tabColor rgb="FF92D050"/>
    <pageSetUpPr autoPageBreaks="0"/>
  </sheetPr>
  <dimension ref="B1:AK62"/>
  <sheetViews>
    <sheetView showGridLines="0" zoomScale="90" zoomScaleNormal="90" workbookViewId="0"/>
  </sheetViews>
  <sheetFormatPr baseColWidth="10" defaultColWidth="9.33203125" defaultRowHeight="15" x14ac:dyDescent="0.2"/>
  <cols>
    <col min="1" max="2" width="2.33203125" style="92" customWidth="1"/>
    <col min="3" max="3" width="7.33203125" style="92" customWidth="1"/>
    <col min="4" max="4" width="27.33203125" style="92" customWidth="1"/>
    <col min="5" max="5" width="31.5" style="92" customWidth="1"/>
    <col min="6" max="6" width="36.6640625" style="92" customWidth="1"/>
    <col min="7" max="7" width="11.5" style="92" customWidth="1"/>
    <col min="8" max="8" width="6.5" style="92" customWidth="1"/>
    <col min="9" max="9" width="9.33203125" style="92" customWidth="1"/>
    <col min="10" max="10" width="6.33203125" style="92" customWidth="1"/>
    <col min="11" max="11" width="9.6640625" style="92" customWidth="1"/>
    <col min="12" max="12" width="10.5" style="92" customWidth="1"/>
    <col min="13" max="19" width="11.6640625" style="92" customWidth="1"/>
    <col min="20" max="23" width="13.6640625" style="92" customWidth="1"/>
    <col min="24" max="30" width="11.33203125" style="92" hidden="1" customWidth="1"/>
    <col min="31" max="31" width="12.5" style="92" hidden="1" customWidth="1"/>
    <col min="32" max="32" width="14" style="92" hidden="1" customWidth="1"/>
    <col min="33" max="33" width="10.5" style="92" hidden="1" customWidth="1"/>
    <col min="34" max="35" width="10" style="92" customWidth="1"/>
    <col min="36" max="36" width="9.5" style="92" customWidth="1"/>
    <col min="37" max="16384" width="9.33203125" style="92"/>
  </cols>
  <sheetData>
    <row r="1" spans="2:37" ht="23.25" customHeight="1" x14ac:dyDescent="0.2">
      <c r="B1" s="90" t="s">
        <v>1</v>
      </c>
      <c r="C1" s="91"/>
      <c r="D1" s="91"/>
      <c r="E1" s="91"/>
      <c r="F1" s="91"/>
      <c r="G1" s="91"/>
      <c r="H1" s="91"/>
      <c r="I1" s="91"/>
      <c r="J1" s="91"/>
      <c r="K1" s="91"/>
      <c r="L1" s="91"/>
      <c r="M1" s="91"/>
      <c r="T1" s="91"/>
    </row>
    <row r="2" spans="2:37" ht="15" customHeight="1" x14ac:dyDescent="0.2">
      <c r="C2" s="91"/>
      <c r="D2" s="91"/>
      <c r="E2" s="91"/>
      <c r="F2" s="91"/>
      <c r="G2" s="91"/>
      <c r="H2" s="91"/>
      <c r="I2" s="91"/>
      <c r="J2" s="91"/>
      <c r="K2" s="91"/>
      <c r="L2" s="91"/>
      <c r="M2" s="91"/>
      <c r="N2" s="91"/>
      <c r="O2" s="91"/>
      <c r="P2" s="91"/>
      <c r="Q2" s="91"/>
      <c r="R2" s="91"/>
      <c r="S2" s="91"/>
      <c r="T2" s="91"/>
      <c r="X2" s="225"/>
      <c r="Y2" s="225"/>
      <c r="Z2" s="225"/>
    </row>
    <row r="3" spans="2:37" ht="25" x14ac:dyDescent="0.3">
      <c r="B3" s="107" t="s">
        <v>365</v>
      </c>
      <c r="H3" s="91"/>
      <c r="AD3" s="246"/>
      <c r="AE3" s="246"/>
      <c r="AF3" s="246"/>
    </row>
    <row r="4" spans="2:37" x14ac:dyDescent="0.2">
      <c r="C4" s="289"/>
      <c r="D4" s="291"/>
      <c r="E4" s="291"/>
      <c r="F4" s="342"/>
      <c r="G4" s="342"/>
      <c r="H4" s="342"/>
      <c r="I4" s="342"/>
      <c r="J4" s="342"/>
      <c r="K4" s="342"/>
      <c r="L4" s="342"/>
      <c r="M4" s="435"/>
      <c r="N4" s="435"/>
      <c r="O4" s="435"/>
      <c r="P4" s="435"/>
      <c r="Q4" s="435"/>
    </row>
    <row r="5" spans="2:37" ht="19" thickBot="1" x14ac:dyDescent="0.3">
      <c r="B5" s="207" t="s">
        <v>366</v>
      </c>
      <c r="C5" s="94"/>
      <c r="D5" s="94"/>
      <c r="E5" s="94"/>
      <c r="F5" s="94"/>
      <c r="G5" s="94"/>
      <c r="H5" s="94"/>
      <c r="I5" s="94"/>
      <c r="J5" s="94"/>
      <c r="K5" s="94"/>
      <c r="L5" s="94"/>
      <c r="M5" s="94"/>
      <c r="N5" s="94"/>
      <c r="O5" s="94"/>
      <c r="P5" s="94"/>
      <c r="Q5" s="94"/>
      <c r="R5" s="94"/>
      <c r="S5" s="94"/>
      <c r="T5" s="94"/>
      <c r="U5" s="94"/>
      <c r="V5" s="94"/>
      <c r="W5" s="94"/>
      <c r="X5" s="94"/>
      <c r="Y5" s="94"/>
      <c r="Z5" s="94"/>
      <c r="AA5" s="94"/>
      <c r="AB5" s="94"/>
      <c r="AC5" s="94"/>
      <c r="AD5" s="94"/>
      <c r="AE5" s="94"/>
      <c r="AF5" s="94"/>
      <c r="AG5" s="94"/>
      <c r="AH5" s="94"/>
      <c r="AI5" s="94"/>
      <c r="AJ5" s="94"/>
      <c r="AK5" s="94"/>
    </row>
    <row r="6" spans="2:37" ht="19.5" customHeight="1" x14ac:dyDescent="0.2">
      <c r="B6" s="877" t="s">
        <v>367</v>
      </c>
      <c r="C6" s="877"/>
      <c r="D6" s="877"/>
      <c r="E6" s="877"/>
      <c r="F6" s="877"/>
      <c r="G6" s="877"/>
      <c r="H6" s="877"/>
      <c r="I6" s="877"/>
      <c r="J6" s="877"/>
      <c r="K6" s="877"/>
      <c r="L6" s="877"/>
      <c r="M6" s="877"/>
      <c r="N6" s="877"/>
      <c r="O6" s="877"/>
      <c r="P6" s="877"/>
      <c r="Q6" s="877"/>
      <c r="R6" s="877"/>
      <c r="S6" s="877"/>
      <c r="T6" s="877"/>
      <c r="U6" s="877"/>
      <c r="X6" s="182" t="s">
        <v>368</v>
      </c>
      <c r="AG6" s="672" t="s">
        <v>369</v>
      </c>
    </row>
    <row r="7" spans="2:37" ht="10.5" customHeight="1" x14ac:dyDescent="0.3">
      <c r="C7" s="208"/>
    </row>
    <row r="8" spans="2:37" ht="15" customHeight="1" x14ac:dyDescent="0.2">
      <c r="K8" s="1002" t="s">
        <v>370</v>
      </c>
      <c r="L8" s="1002"/>
      <c r="M8" s="1002"/>
      <c r="N8" s="1002"/>
      <c r="O8" s="1002"/>
      <c r="P8" s="1002"/>
      <c r="Q8" s="1002"/>
      <c r="R8" s="1002"/>
      <c r="S8" s="1002"/>
      <c r="T8" s="992" t="s">
        <v>371</v>
      </c>
      <c r="U8" s="993"/>
      <c r="V8" s="993"/>
      <c r="W8" s="993"/>
      <c r="X8" s="993"/>
      <c r="Y8" s="993"/>
      <c r="Z8" s="993"/>
      <c r="AA8" s="993"/>
      <c r="AB8" s="993"/>
      <c r="AC8" s="993"/>
      <c r="AD8" s="993"/>
      <c r="AE8" s="993"/>
      <c r="AF8" s="993"/>
      <c r="AG8" s="993"/>
      <c r="AH8" s="993"/>
      <c r="AI8" s="993"/>
      <c r="AJ8" s="994"/>
    </row>
    <row r="9" spans="2:37" ht="27.75" customHeight="1" x14ac:dyDescent="0.2">
      <c r="C9" s="834" t="s">
        <v>68</v>
      </c>
      <c r="D9" s="809" t="s">
        <v>372</v>
      </c>
      <c r="E9" s="815" t="s">
        <v>373</v>
      </c>
      <c r="F9" s="815" t="s">
        <v>374</v>
      </c>
      <c r="G9" s="806" t="s">
        <v>375</v>
      </c>
      <c r="H9" s="809" t="s">
        <v>376</v>
      </c>
      <c r="I9" s="815" t="s">
        <v>377</v>
      </c>
      <c r="J9" s="806" t="s">
        <v>378</v>
      </c>
      <c r="K9" s="986" t="s">
        <v>72</v>
      </c>
      <c r="L9" s="987"/>
      <c r="M9" s="988"/>
      <c r="N9" s="986" t="s">
        <v>379</v>
      </c>
      <c r="O9" s="987"/>
      <c r="P9" s="988"/>
      <c r="Q9" s="986" t="s">
        <v>380</v>
      </c>
      <c r="R9" s="987"/>
      <c r="S9" s="988"/>
      <c r="T9" s="809" t="s">
        <v>381</v>
      </c>
      <c r="U9" s="815" t="str">
        <f>IF(OR('Input-Utilities'!C11="n/a",'Input-Utilities'!C11=""), "n/a", "Annual "&amp;'Input-Utilities'!C11&amp;" Savings")</f>
        <v>Annual Natural Gas Savings</v>
      </c>
      <c r="V9" s="815" t="str">
        <f>IF(OR('Input-Utilities'!C12="n/a",'Input-Utilities'!C12=""), "n/a", "Annual "&amp;'Input-Utilities'!C12&amp;" Savings")</f>
        <v>n/a</v>
      </c>
      <c r="W9" s="806" t="s">
        <v>382</v>
      </c>
      <c r="X9" s="986" t="s">
        <v>383</v>
      </c>
      <c r="Y9" s="987"/>
      <c r="Z9" s="988"/>
      <c r="AA9" s="986" t="s">
        <v>384</v>
      </c>
      <c r="AB9" s="987"/>
      <c r="AC9" s="988"/>
      <c r="AD9" s="513" t="s">
        <v>383</v>
      </c>
      <c r="AE9" s="436" t="s">
        <v>384</v>
      </c>
      <c r="AF9" s="436" t="s">
        <v>385</v>
      </c>
      <c r="AG9" s="761" t="s">
        <v>386</v>
      </c>
      <c r="AH9" s="809" t="s">
        <v>50</v>
      </c>
      <c r="AI9" s="815" t="s">
        <v>386</v>
      </c>
      <c r="AJ9" s="806" t="s">
        <v>51</v>
      </c>
      <c r="AK9" s="806" t="s">
        <v>387</v>
      </c>
    </row>
    <row r="10" spans="2:37" ht="14.25" customHeight="1" x14ac:dyDescent="0.2">
      <c r="C10" s="995"/>
      <c r="D10" s="997"/>
      <c r="E10" s="989"/>
      <c r="F10" s="989"/>
      <c r="G10" s="1000"/>
      <c r="H10" s="997"/>
      <c r="I10" s="989"/>
      <c r="J10" s="1000"/>
      <c r="K10" s="762" t="s">
        <v>388</v>
      </c>
      <c r="L10" s="762" t="s">
        <v>389</v>
      </c>
      <c r="M10" s="437" t="s">
        <v>64</v>
      </c>
      <c r="N10" s="762" t="s">
        <v>81</v>
      </c>
      <c r="O10" s="762" t="s">
        <v>82</v>
      </c>
      <c r="P10" s="437" t="s">
        <v>64</v>
      </c>
      <c r="Q10" s="438" t="s">
        <v>81</v>
      </c>
      <c r="R10" s="762" t="s">
        <v>82</v>
      </c>
      <c r="S10" s="437" t="s">
        <v>64</v>
      </c>
      <c r="T10" s="999"/>
      <c r="U10" s="991"/>
      <c r="V10" s="991"/>
      <c r="W10" s="985"/>
      <c r="X10" s="439" t="str">
        <f>'Input-Utilities'!$C10</f>
        <v>Electricity</v>
      </c>
      <c r="Y10" s="757" t="str">
        <f>IF(OR('Input-Utilities'!$C11="n/a",'Input-Utilities'!$C11=""), "n/a",'Input-Utilities'!$C11)</f>
        <v>Natural Gas</v>
      </c>
      <c r="Z10" s="440" t="str">
        <f>IF(OR('Input-Utilities'!$C12="n/a",'Input-Utilities'!$C12=""), "n/a",'Input-Utilities'!$C12)</f>
        <v>n/a</v>
      </c>
      <c r="AA10" s="439" t="str">
        <f>'Input-Utilities'!$C10</f>
        <v>Electricity</v>
      </c>
      <c r="AB10" s="757" t="str">
        <f>IF(OR('Input-Utilities'!$C11="n/a",'Input-Utilities'!$C11=""), "n/a",'Input-Utilities'!$C11)</f>
        <v>Natural Gas</v>
      </c>
      <c r="AC10" s="440" t="str">
        <f>IF(OR('Input-Utilities'!$C12="n/a",'Input-Utilities'!$C12=""), "n/a",'Input-Utilities'!$C12)</f>
        <v>n/a</v>
      </c>
      <c r="AD10" s="758" t="s">
        <v>390</v>
      </c>
      <c r="AE10" s="757" t="s">
        <v>390</v>
      </c>
      <c r="AF10" s="757" t="str">
        <f>'Input-Utilities'!$C13</f>
        <v>Water and Sewer</v>
      </c>
      <c r="AG10" s="440" t="s">
        <v>390</v>
      </c>
      <c r="AH10" s="999"/>
      <c r="AI10" s="991"/>
      <c r="AJ10" s="985"/>
      <c r="AK10" s="985"/>
    </row>
    <row r="11" spans="2:37" ht="14.25" customHeight="1" thickBot="1" x14ac:dyDescent="0.25">
      <c r="C11" s="996"/>
      <c r="D11" s="998"/>
      <c r="E11" s="990"/>
      <c r="F11" s="990"/>
      <c r="G11" s="1001"/>
      <c r="H11" s="998"/>
      <c r="I11" s="990"/>
      <c r="J11" s="1001"/>
      <c r="K11" s="441" t="s">
        <v>391</v>
      </c>
      <c r="L11" s="441" t="s">
        <v>391</v>
      </c>
      <c r="M11" s="442" t="s">
        <v>391</v>
      </c>
      <c r="N11" s="441" t="s">
        <v>391</v>
      </c>
      <c r="O11" s="441" t="s">
        <v>391</v>
      </c>
      <c r="P11" s="442" t="s">
        <v>391</v>
      </c>
      <c r="Q11" s="443" t="s">
        <v>391</v>
      </c>
      <c r="R11" s="441" t="s">
        <v>391</v>
      </c>
      <c r="S11" s="442" t="s">
        <v>391</v>
      </c>
      <c r="T11" s="444" t="s">
        <v>277</v>
      </c>
      <c r="U11" s="441" t="str">
        <f>IF(U9="n/a", "", 'Input-Utilities'!F11)</f>
        <v>therms gas</v>
      </c>
      <c r="V11" s="441" t="str">
        <f>IF(V9="n/a", "", 'Input-Utilities'!F12)</f>
        <v/>
      </c>
      <c r="W11" s="445" t="str">
        <f>'Input-Utilities'!F13</f>
        <v>Gal</v>
      </c>
      <c r="X11" s="446" t="s">
        <v>83</v>
      </c>
      <c r="Y11" s="441" t="s">
        <v>83</v>
      </c>
      <c r="Z11" s="442" t="s">
        <v>83</v>
      </c>
      <c r="AA11" s="446" t="s">
        <v>83</v>
      </c>
      <c r="AB11" s="441" t="s">
        <v>83</v>
      </c>
      <c r="AC11" s="442" t="s">
        <v>83</v>
      </c>
      <c r="AD11" s="444" t="s">
        <v>83</v>
      </c>
      <c r="AE11" s="441" t="s">
        <v>83</v>
      </c>
      <c r="AF11" s="441" t="s">
        <v>84</v>
      </c>
      <c r="AG11" s="442" t="s">
        <v>392</v>
      </c>
      <c r="AH11" s="444" t="s">
        <v>393</v>
      </c>
      <c r="AI11" s="443" t="s">
        <v>393</v>
      </c>
      <c r="AJ11" s="445" t="s">
        <v>393</v>
      </c>
      <c r="AK11" s="445" t="s">
        <v>394</v>
      </c>
    </row>
    <row r="12" spans="2:37" ht="37" thickTop="1" x14ac:dyDescent="0.2">
      <c r="C12" s="447">
        <v>1</v>
      </c>
      <c r="D12" s="448" t="s">
        <v>147</v>
      </c>
      <c r="E12" s="449" t="s">
        <v>148</v>
      </c>
      <c r="F12" s="450" t="s">
        <v>1028</v>
      </c>
      <c r="G12" s="451" t="s">
        <v>743</v>
      </c>
      <c r="H12" s="452">
        <v>129</v>
      </c>
      <c r="I12" s="317">
        <v>129</v>
      </c>
      <c r="J12" s="453">
        <f>IFERROR(IF(I12=0,"",I12/'Input-Property'!$D$42),"")</f>
        <v>1</v>
      </c>
      <c r="K12" s="603">
        <v>41080</v>
      </c>
      <c r="L12" s="604">
        <v>3000</v>
      </c>
      <c r="M12" s="608">
        <f t="shared" ref="M12" si="0">IF(D12="","",SUM(K12:L12))</f>
        <v>44080</v>
      </c>
      <c r="N12" s="473">
        <v>7612.474086294168</v>
      </c>
      <c r="O12" s="473">
        <v>0</v>
      </c>
      <c r="P12" s="455">
        <f t="shared" ref="P12" si="1">IF(D12="","",SUM(N12:O12))</f>
        <v>7612.474086294168</v>
      </c>
      <c r="Q12" s="474">
        <v>0</v>
      </c>
      <c r="R12" s="473">
        <v>0</v>
      </c>
      <c r="S12" s="455">
        <f t="shared" ref="S12" si="2">IF(D12="","",SUM(Q12:R12))</f>
        <v>0</v>
      </c>
      <c r="T12" s="475">
        <v>70097</v>
      </c>
      <c r="U12" s="350">
        <v>198</v>
      </c>
      <c r="V12" s="350"/>
      <c r="W12" s="476">
        <v>0</v>
      </c>
      <c r="X12" s="458">
        <f>IF(T12="","",IFERROR(T12*INDEX(Assumptions!$D$6:$D$17,MATCH('Input-EWEMs'!T$11,Assumptions!$C$6:$C$17,0))/1000,""))</f>
        <v>239170.96400000001</v>
      </c>
      <c r="Y12" s="459">
        <f>IF(U12="","",IFERROR(U12*INDEX(Assumptions!$D$6:$D$17,MATCH('Input-EWEMs'!U$11,Assumptions!$C$6:$C$17,0))/1000,""))</f>
        <v>19800</v>
      </c>
      <c r="Z12" s="460" t="str">
        <f>IF(V12="","",IFERROR(V12*INDEX(Assumptions!$D$6:$D$17,MATCH('Input-EWEMs'!V$11,Assumptions!$C$6:$C$17,0))/1000,""))</f>
        <v/>
      </c>
      <c r="AA12" s="458">
        <f>IF(X12="","",IFERROR(X12*INDEX(Assumptions!$E$6:$E$17,MATCH('Input-EWEMs'!AA$10,Assumptions!$B$6:$B$17,0)),""))</f>
        <v>669678.69920000003</v>
      </c>
      <c r="AB12" s="459">
        <f>IF(Y12="","",IFERROR(Y12*INDEX(Assumptions!$E$6:$E$17,MATCH('Input-EWEMs'!AB$10,Assumptions!$B$6:$B$17,0)),""))</f>
        <v>20790</v>
      </c>
      <c r="AC12" s="460" t="str">
        <f>IF(Z12="","",IFERROR(Z12*INDEX(Assumptions!$E$6:$E$17,MATCH('Input-EWEMs'!AC$10,Assumptions!$B$6:$B$17,0)),""))</f>
        <v/>
      </c>
      <c r="AD12" s="461">
        <f>SUM(X12:Z12)</f>
        <v>258970.96400000001</v>
      </c>
      <c r="AE12" s="459">
        <f>SUM(AA12:AC12)</f>
        <v>690468.69920000003</v>
      </c>
      <c r="AF12" s="462">
        <f>IF(W12="","",IFERROR(W12*INDEX(Assumptions!$D$20:$D$23,MATCH('Input-EWEMs'!W$11,Assumptions!$C$20:$C$23,0))/1000,""))</f>
        <v>0</v>
      </c>
      <c r="AG12" s="463">
        <f>IFERROR(T12*INDEX(Assumptions!$H$6:$H$17,MATCH('Input-EWEMs'!T$11,Assumptions!$C$6:$C$17,0)),0)+IFERROR(U12*INDEX(Assumptions!$H$6:$H$17,MATCH('Input-EWEMs'!U$11,Assumptions!$C$6:$C$17,0)),0)+IFERROR(V12*INDEX(Assumptions!$H$6:$H$17,MATCH('Input-EWEMs'!V$11,Assumptions!$C$6:$C$17,0)),0)</f>
        <v>59976.588430237935</v>
      </c>
      <c r="AH12" s="464">
        <f>IFERROR(IF(D12="","",SUM(X12:Z12)/'Input-Utilities'!$N$14),"")</f>
        <v>3.0528780967432192E-2</v>
      </c>
      <c r="AI12" s="714">
        <f>IFERROR(IF(D12="","",AG12/'Input-Utilities'!$L$16),"")</f>
        <v>3.3810926766221383E-2</v>
      </c>
      <c r="AJ12" s="465">
        <f>IFERROR(IF(D12="","",W12/'Input-Utilities'!$J$13),"")</f>
        <v>0</v>
      </c>
      <c r="AK12" s="466">
        <f>IFERROR(IF($D12="","",IF(INDEX('Reference-MeasureList EULs'!D:D, MATCH('Input-EWEMs'!E12,'Reference-MeasureList EULs'!C:C,0))=0,"",INDEX('Reference-MeasureList EULs'!D:D, MATCH('Input-EWEMs'!E12,'Reference-MeasureList EULs'!C:C,0)))),"")</f>
        <v>10</v>
      </c>
    </row>
    <row r="13" spans="2:37" ht="36" x14ac:dyDescent="0.2">
      <c r="C13" s="467">
        <v>2</v>
      </c>
      <c r="D13" s="468" t="s">
        <v>147</v>
      </c>
      <c r="E13" s="469" t="s">
        <v>925</v>
      </c>
      <c r="F13" s="470" t="s">
        <v>1029</v>
      </c>
      <c r="G13" s="471" t="s">
        <v>743</v>
      </c>
      <c r="H13" s="472">
        <v>129</v>
      </c>
      <c r="I13" s="321">
        <v>129</v>
      </c>
      <c r="J13" s="453">
        <f>IFERROR(IF(I13=0,"",I13/'Input-Property'!$D$42),"")</f>
        <v>1</v>
      </c>
      <c r="K13" s="603">
        <v>600000</v>
      </c>
      <c r="L13" s="604">
        <v>8000</v>
      </c>
      <c r="M13" s="608">
        <f t="shared" ref="M13:M41" si="3">IF(D13="","",SUM(K13:L13))</f>
        <v>608000</v>
      </c>
      <c r="N13" s="473">
        <v>11513.076616260234</v>
      </c>
      <c r="O13" s="473">
        <v>0</v>
      </c>
      <c r="P13" s="455">
        <f t="shared" ref="P13:P41" si="4">IF(D13="","",SUM(N13:O13))</f>
        <v>11513.076616260234</v>
      </c>
      <c r="Q13" s="474">
        <v>0</v>
      </c>
      <c r="R13" s="473">
        <v>0</v>
      </c>
      <c r="S13" s="455">
        <f t="shared" ref="S13:S41" si="5">IF(D13="","",SUM(Q13:R13))</f>
        <v>0</v>
      </c>
      <c r="T13" s="475">
        <v>82590</v>
      </c>
      <c r="U13" s="350">
        <v>2187</v>
      </c>
      <c r="V13" s="350"/>
      <c r="W13" s="476">
        <v>0</v>
      </c>
      <c r="X13" s="458">
        <f>IF(T13="","",IFERROR(T13*INDEX(Assumptions!$D$6:$D$17,MATCH('Input-EWEMs'!T$11,Assumptions!$C$6:$C$17,0))/1000,""))</f>
        <v>281797.08</v>
      </c>
      <c r="Y13" s="459">
        <f>IF(U13="","",IFERROR(U13*INDEX(Assumptions!$D$6:$D$17,MATCH('Input-EWEMs'!U$11,Assumptions!$C$6:$C$17,0))/1000,""))</f>
        <v>218700</v>
      </c>
      <c r="Z13" s="460" t="str">
        <f>IF(V13="","",IFERROR(V13*INDEX(Assumptions!$D$6:$D$17,MATCH('Input-EWEMs'!V$11,Assumptions!$C$6:$C$17,0))/1000,""))</f>
        <v/>
      </c>
      <c r="AA13" s="458">
        <f>IF(X13="","",IFERROR(X13*INDEX(Assumptions!$E$6:$E$17,MATCH('Input-EWEMs'!AA$10,Assumptions!$B$6:$B$17,0)),""))</f>
        <v>789031.82400000002</v>
      </c>
      <c r="AB13" s="459">
        <f>IF(Y13="","",IFERROR(Y13*INDEX(Assumptions!$E$6:$E$17,MATCH('Input-EWEMs'!AB$10,Assumptions!$B$6:$B$17,0)),""))</f>
        <v>229635</v>
      </c>
      <c r="AC13" s="460" t="str">
        <f>IF(Z13="","",IFERROR(Z13*INDEX(Assumptions!$E$6:$E$17,MATCH('Input-EWEMs'!AC$10,Assumptions!$B$6:$B$17,0)),""))</f>
        <v/>
      </c>
      <c r="AD13" s="461">
        <f t="shared" ref="AD13:AD28" si="6">SUM(X13:Z13)</f>
        <v>500497.08</v>
      </c>
      <c r="AE13" s="459">
        <f t="shared" ref="AE13:AE28" si="7">SUM(AA13:AC13)</f>
        <v>1018666.824</v>
      </c>
      <c r="AF13" s="459">
        <f>IF(W13="","",IFERROR(W13*INDEX(Assumptions!$D$20:$D$23,MATCH('Input-EWEMs'!W$11,Assumptions!$C$20:$C$23,0))/1000,""))</f>
        <v>0</v>
      </c>
      <c r="AG13" s="460">
        <f>IFERROR(T13*INDEX(Assumptions!$H$6:$H$17,MATCH('Input-EWEMs'!T$11,Assumptions!$C$6:$C$17,0)),0)+IFERROR(U13*INDEX(Assumptions!$H$6:$H$17,MATCH('Input-EWEMs'!U$11,Assumptions!$C$6:$C$17,0)),0)+IFERROR(V13*INDEX(Assumptions!$H$6:$H$17,MATCH('Input-EWEMs'!V$11,Assumptions!$C$6:$C$17,0)),0)</f>
        <v>93541.405166094119</v>
      </c>
      <c r="AH13" s="464">
        <f>IFERROR(IF(D13="","",SUM(X13:Z13)/'Input-Utilities'!$N$14),"")</f>
        <v>5.9001076777701562E-2</v>
      </c>
      <c r="AI13" s="714">
        <f>IFERROR(IF(D13="","",AG13/'Input-Utilities'!$L$16),"")</f>
        <v>5.2732602544724366E-2</v>
      </c>
      <c r="AJ13" s="465">
        <f>IFERROR(IF(D13="","",W13/'Input-Utilities'!$J$13),"")</f>
        <v>0</v>
      </c>
      <c r="AK13" s="466">
        <f>IFERROR(IF($D13="","",IF(INDEX('Reference-MeasureList EULs'!D:D, MATCH('Input-EWEMs'!E13,'Reference-MeasureList EULs'!C:C,0))=0,"",INDEX('Reference-MeasureList EULs'!D:D, MATCH('Input-EWEMs'!E13,'Reference-MeasureList EULs'!C:C,0)))),"")</f>
        <v>10</v>
      </c>
    </row>
    <row r="14" spans="2:37" ht="36" x14ac:dyDescent="0.2">
      <c r="C14" s="467">
        <v>3</v>
      </c>
      <c r="D14" s="468" t="s">
        <v>870</v>
      </c>
      <c r="E14" s="469" t="s">
        <v>880</v>
      </c>
      <c r="F14" s="470" t="s">
        <v>1030</v>
      </c>
      <c r="G14" s="471" t="s">
        <v>755</v>
      </c>
      <c r="H14" s="472"/>
      <c r="I14" s="321">
        <v>0</v>
      </c>
      <c r="J14" s="453" t="str">
        <f>IFERROR(IF(I14=0,"",I14/'Input-Property'!$D$42),"")</f>
        <v/>
      </c>
      <c r="K14" s="603">
        <v>2250</v>
      </c>
      <c r="L14" s="604">
        <v>1500</v>
      </c>
      <c r="M14" s="608">
        <f t="shared" si="3"/>
        <v>3750</v>
      </c>
      <c r="N14" s="473">
        <v>1337.2281171847087</v>
      </c>
      <c r="O14" s="473">
        <v>0</v>
      </c>
      <c r="P14" s="455">
        <f t="shared" si="4"/>
        <v>1337.2281171847087</v>
      </c>
      <c r="Q14" s="474">
        <v>0</v>
      </c>
      <c r="R14" s="473">
        <v>0</v>
      </c>
      <c r="S14" s="455">
        <f t="shared" si="5"/>
        <v>0</v>
      </c>
      <c r="T14" s="475">
        <v>0</v>
      </c>
      <c r="U14" s="350">
        <v>1027</v>
      </c>
      <c r="V14" s="350"/>
      <c r="W14" s="476">
        <v>0</v>
      </c>
      <c r="X14" s="458">
        <f>IF(T14="","",IFERROR(T14*INDEX(Assumptions!$D$6:$D$17,MATCH('Input-EWEMs'!T$11,Assumptions!$C$6:$C$17,0))/1000,""))</f>
        <v>0</v>
      </c>
      <c r="Y14" s="459">
        <f>IF(U14="","",IFERROR(U14*INDEX(Assumptions!$D$6:$D$17,MATCH('Input-EWEMs'!U$11,Assumptions!$C$6:$C$17,0))/1000,""))</f>
        <v>102700</v>
      </c>
      <c r="Z14" s="460" t="str">
        <f>IF(V14="","",IFERROR(V14*INDEX(Assumptions!$D$6:$D$17,MATCH('Input-EWEMs'!V$11,Assumptions!$C$6:$C$17,0))/1000,""))</f>
        <v/>
      </c>
      <c r="AA14" s="458">
        <f>IF(X14="","",IFERROR(X14*INDEX(Assumptions!$E$6:$E$17,MATCH('Input-EWEMs'!AA$10,Assumptions!$B$6:$B$17,0)),""))</f>
        <v>0</v>
      </c>
      <c r="AB14" s="459">
        <f>IF(Y14="","",IFERROR(Y14*INDEX(Assumptions!$E$6:$E$17,MATCH('Input-EWEMs'!AB$10,Assumptions!$B$6:$B$17,0)),""))</f>
        <v>107835</v>
      </c>
      <c r="AC14" s="460" t="str">
        <f>IF(Z14="","",IFERROR(Z14*INDEX(Assumptions!$E$6:$E$17,MATCH('Input-EWEMs'!AC$10,Assumptions!$B$6:$B$17,0)),""))</f>
        <v/>
      </c>
      <c r="AD14" s="461">
        <f t="shared" si="6"/>
        <v>102700</v>
      </c>
      <c r="AE14" s="459">
        <f t="shared" si="7"/>
        <v>107835</v>
      </c>
      <c r="AF14" s="459">
        <f>IF(W14="","",IFERROR(W14*INDEX(Assumptions!$D$20:$D$23,MATCH('Input-EWEMs'!W$11,Assumptions!$C$20:$C$23,0))/1000,""))</f>
        <v>0</v>
      </c>
      <c r="AG14" s="460">
        <f>IFERROR(T14*INDEX(Assumptions!$H$6:$H$17,MATCH('Input-EWEMs'!T$11,Assumptions!$C$6:$C$17,0)),0)+IFERROR(U14*INDEX(Assumptions!$H$6:$H$17,MATCH('Input-EWEMs'!U$11,Assumptions!$C$6:$C$17,0)),0)+IFERROR(V14*INDEX(Assumptions!$H$6:$H$17,MATCH('Input-EWEMs'!V$11,Assumptions!$C$6:$C$17,0)),0)</f>
        <v>12024.887004660139</v>
      </c>
      <c r="AH14" s="464">
        <f>IFERROR(IF(D14="","",SUM(X14:Z14)/'Input-Utilities'!$N$14),"")</f>
        <v>1.2106785088676143E-2</v>
      </c>
      <c r="AI14" s="714">
        <f>IFERROR(IF(D14="","",AG14/'Input-Utilities'!$L$16),"")</f>
        <v>6.7788546252436164E-3</v>
      </c>
      <c r="AJ14" s="465">
        <f>IFERROR(IF(D14="","",W14/'Input-Utilities'!$J$13),"")</f>
        <v>0</v>
      </c>
      <c r="AK14" s="466">
        <f>IFERROR(IF($D14="","",IF(INDEX('Reference-MeasureList EULs'!D:D, MATCH('Input-EWEMs'!E14,'Reference-MeasureList EULs'!C:C,0))=0,"",INDEX('Reference-MeasureList EULs'!D:D, MATCH('Input-EWEMs'!E14,'Reference-MeasureList EULs'!C:C,0)))),"")</f>
        <v>10</v>
      </c>
    </row>
    <row r="15" spans="2:37" ht="36" x14ac:dyDescent="0.2">
      <c r="C15" s="467">
        <v>4</v>
      </c>
      <c r="D15" s="468" t="s">
        <v>138</v>
      </c>
      <c r="E15" s="469" t="s">
        <v>139</v>
      </c>
      <c r="F15" s="470" t="s">
        <v>1031</v>
      </c>
      <c r="G15" s="471" t="s">
        <v>743</v>
      </c>
      <c r="H15" s="472">
        <v>500</v>
      </c>
      <c r="I15" s="321">
        <v>129</v>
      </c>
      <c r="J15" s="453">
        <f>IFERROR(IF(I15=0,"",I15/'Input-Property'!$D$42),"")</f>
        <v>1</v>
      </c>
      <c r="K15" s="603">
        <v>49000</v>
      </c>
      <c r="L15" s="604">
        <v>970</v>
      </c>
      <c r="M15" s="608">
        <f t="shared" si="3"/>
        <v>49970</v>
      </c>
      <c r="N15" s="473">
        <v>11497.268911149706</v>
      </c>
      <c r="O15" s="473">
        <v>0</v>
      </c>
      <c r="P15" s="455">
        <f t="shared" si="4"/>
        <v>11497.268911149706</v>
      </c>
      <c r="Q15" s="474">
        <v>0</v>
      </c>
      <c r="R15" s="473">
        <v>0</v>
      </c>
      <c r="S15" s="455">
        <f t="shared" si="5"/>
        <v>0</v>
      </c>
      <c r="T15" s="475">
        <v>109580</v>
      </c>
      <c r="U15" s="350">
        <v>0</v>
      </c>
      <c r="V15" s="350"/>
      <c r="W15" s="476">
        <v>0</v>
      </c>
      <c r="X15" s="458">
        <f>IF(T15="","",IFERROR(T15*INDEX(Assumptions!$D$6:$D$17,MATCH('Input-EWEMs'!T$11,Assumptions!$C$6:$C$17,0))/1000,""))</f>
        <v>373886.96</v>
      </c>
      <c r="Y15" s="459">
        <f>IF(U15="","",IFERROR(U15*INDEX(Assumptions!$D$6:$D$17,MATCH('Input-EWEMs'!U$11,Assumptions!$C$6:$C$17,0))/1000,""))</f>
        <v>0</v>
      </c>
      <c r="Z15" s="460" t="str">
        <f>IF(V15="","",IFERROR(V15*INDEX(Assumptions!$D$6:$D$17,MATCH('Input-EWEMs'!V$11,Assumptions!$C$6:$C$17,0))/1000,""))</f>
        <v/>
      </c>
      <c r="AA15" s="458">
        <f>IF(X15="","",IFERROR(X15*INDEX(Assumptions!$E$6:$E$17,MATCH('Input-EWEMs'!AA$10,Assumptions!$B$6:$B$17,0)),""))</f>
        <v>1046883.488</v>
      </c>
      <c r="AB15" s="459">
        <f>IF(Y15="","",IFERROR(Y15*INDEX(Assumptions!$E$6:$E$17,MATCH('Input-EWEMs'!AB$10,Assumptions!$B$6:$B$17,0)),""))</f>
        <v>0</v>
      </c>
      <c r="AC15" s="460" t="str">
        <f>IF(Z15="","",IFERROR(Z15*INDEX(Assumptions!$E$6:$E$17,MATCH('Input-EWEMs'!AC$10,Assumptions!$B$6:$B$17,0)),""))</f>
        <v/>
      </c>
      <c r="AD15" s="461">
        <f t="shared" si="6"/>
        <v>373886.96</v>
      </c>
      <c r="AE15" s="459">
        <f t="shared" si="7"/>
        <v>1046883.488</v>
      </c>
      <c r="AF15" s="459">
        <f>IF(W15="","",IFERROR(W15*INDEX(Assumptions!$D$20:$D$23,MATCH('Input-EWEMs'!W$11,Assumptions!$C$20:$C$23,0))/1000,""))</f>
        <v>0</v>
      </c>
      <c r="AG15" s="460">
        <f>IFERROR(T15*INDEX(Assumptions!$H$6:$H$17,MATCH('Input-EWEMs'!T$11,Assumptions!$C$6:$C$17,0)),0)+IFERROR(U15*INDEX(Assumptions!$H$6:$H$17,MATCH('Input-EWEMs'!U$11,Assumptions!$C$6:$C$17,0)),0)+IFERROR(V15*INDEX(Assumptions!$H$6:$H$17,MATCH('Input-EWEMs'!V$11,Assumptions!$C$6:$C$17,0)),0)</f>
        <v>90134.979655223477</v>
      </c>
      <c r="AH15" s="464">
        <f>IFERROR(IF(D15="","",SUM(X15:Z15)/'Input-Utilities'!$N$14),"")</f>
        <v>4.4075648219848627E-2</v>
      </c>
      <c r="AI15" s="714">
        <f>IFERROR(IF(D15="","",AG15/'Input-Utilities'!$L$16),"")</f>
        <v>5.0812279857204365E-2</v>
      </c>
      <c r="AJ15" s="465">
        <f>IFERROR(IF(D15="","",W15/'Input-Utilities'!$J$13),"")</f>
        <v>0</v>
      </c>
      <c r="AK15" s="466">
        <f>IFERROR(IF($D15="","",IF(INDEX('Reference-MeasureList EULs'!D:D, MATCH('Input-EWEMs'!E15,'Reference-MeasureList EULs'!C:C,0))=0,"",INDEX('Reference-MeasureList EULs'!D:D, MATCH('Input-EWEMs'!E15,'Reference-MeasureList EULs'!C:C,0)))),"")</f>
        <v>15</v>
      </c>
    </row>
    <row r="16" spans="2:37" ht="36" x14ac:dyDescent="0.2">
      <c r="C16" s="467">
        <v>5</v>
      </c>
      <c r="D16" s="468" t="s">
        <v>138</v>
      </c>
      <c r="E16" s="469" t="s">
        <v>889</v>
      </c>
      <c r="F16" s="470" t="s">
        <v>1032</v>
      </c>
      <c r="G16" s="471" t="s">
        <v>755</v>
      </c>
      <c r="H16" s="472">
        <v>500</v>
      </c>
      <c r="I16" s="321">
        <v>0</v>
      </c>
      <c r="J16" s="453" t="str">
        <f>IFERROR(IF(I16=0,"",I16/'Input-Property'!$D$42),"")</f>
        <v/>
      </c>
      <c r="K16" s="603">
        <v>35000</v>
      </c>
      <c r="L16" s="604">
        <v>5075</v>
      </c>
      <c r="M16" s="608">
        <f t="shared" si="3"/>
        <v>40075</v>
      </c>
      <c r="N16" s="473">
        <v>5475.4195601136944</v>
      </c>
      <c r="O16" s="473">
        <v>0</v>
      </c>
      <c r="P16" s="455">
        <f t="shared" si="4"/>
        <v>5475.4195601136944</v>
      </c>
      <c r="Q16" s="474">
        <v>0</v>
      </c>
      <c r="R16" s="473">
        <v>0</v>
      </c>
      <c r="S16" s="455">
        <f t="shared" si="5"/>
        <v>0</v>
      </c>
      <c r="T16" s="475">
        <v>52186</v>
      </c>
      <c r="U16" s="350">
        <v>0</v>
      </c>
      <c r="V16" s="350"/>
      <c r="W16" s="476">
        <v>0</v>
      </c>
      <c r="X16" s="458">
        <f>IF(T16="","",IFERROR(T16*INDEX(Assumptions!$D$6:$D$17,MATCH('Input-EWEMs'!T$11,Assumptions!$C$6:$C$17,0))/1000,""))</f>
        <v>178058.63200000001</v>
      </c>
      <c r="Y16" s="459">
        <f>IF(U16="","",IFERROR(U16*INDEX(Assumptions!$D$6:$D$17,MATCH('Input-EWEMs'!U$11,Assumptions!$C$6:$C$17,0))/1000,""))</f>
        <v>0</v>
      </c>
      <c r="Z16" s="460" t="str">
        <f>IF(V16="","",IFERROR(V16*INDEX(Assumptions!$D$6:$D$17,MATCH('Input-EWEMs'!V$11,Assumptions!$C$6:$C$17,0))/1000,""))</f>
        <v/>
      </c>
      <c r="AA16" s="458">
        <f>IF(X16="","",IFERROR(X16*INDEX(Assumptions!$E$6:$E$17,MATCH('Input-EWEMs'!AA$10,Assumptions!$B$6:$B$17,0)),""))</f>
        <v>498564.16960000002</v>
      </c>
      <c r="AB16" s="459">
        <f>IF(Y16="","",IFERROR(Y16*INDEX(Assumptions!$E$6:$E$17,MATCH('Input-EWEMs'!AB$10,Assumptions!$B$6:$B$17,0)),""))</f>
        <v>0</v>
      </c>
      <c r="AC16" s="460" t="str">
        <f>IF(Z16="","",IFERROR(Z16*INDEX(Assumptions!$E$6:$E$17,MATCH('Input-EWEMs'!AC$10,Assumptions!$B$6:$B$17,0)),""))</f>
        <v/>
      </c>
      <c r="AD16" s="461">
        <f t="shared" si="6"/>
        <v>178058.63200000001</v>
      </c>
      <c r="AE16" s="459">
        <f t="shared" si="7"/>
        <v>498564.16960000002</v>
      </c>
      <c r="AF16" s="459">
        <f>IF(W16="","",IFERROR(W16*INDEX(Assumptions!$D$20:$D$23,MATCH('Input-EWEMs'!W$11,Assumptions!$C$20:$C$23,0))/1000,""))</f>
        <v>0</v>
      </c>
      <c r="AG16" s="460">
        <f>IFERROR(T16*INDEX(Assumptions!$H$6:$H$17,MATCH('Input-EWEMs'!T$11,Assumptions!$C$6:$C$17,0)),0)+IFERROR(U16*INDEX(Assumptions!$H$6:$H$17,MATCH('Input-EWEMs'!U$11,Assumptions!$C$6:$C$17,0)),0)+IFERROR(V16*INDEX(Assumptions!$H$6:$H$17,MATCH('Input-EWEMs'!V$11,Assumptions!$C$6:$C$17,0)),0)</f>
        <v>42925.570800214387</v>
      </c>
      <c r="AH16" s="464">
        <f>IFERROR(IF(D16="","",SUM(X16:Z16)/'Input-Utilities'!$N$14),"")</f>
        <v>2.0990434185079579E-2</v>
      </c>
      <c r="AI16" s="714">
        <f>IFERROR(IF(D16="","",AG16/'Input-Utilities'!$L$16),"")</f>
        <v>2.4198664324037847E-2</v>
      </c>
      <c r="AJ16" s="465">
        <f>IFERROR(IF(D16="","",W16/'Input-Utilities'!$J$13),"")</f>
        <v>0</v>
      </c>
      <c r="AK16" s="466">
        <f>IFERROR(IF($D16="","",IF(INDEX('Reference-MeasureList EULs'!D:D, MATCH('Input-EWEMs'!E16,'Reference-MeasureList EULs'!C:C,0))=0,"",INDEX('Reference-MeasureList EULs'!D:D, MATCH('Input-EWEMs'!E16,'Reference-MeasureList EULs'!C:C,0)))),"")</f>
        <v>15</v>
      </c>
    </row>
    <row r="17" spans="3:37" ht="36" x14ac:dyDescent="0.2">
      <c r="C17" s="467">
        <v>6</v>
      </c>
      <c r="D17" s="468" t="s">
        <v>138</v>
      </c>
      <c r="E17" s="469" t="s">
        <v>917</v>
      </c>
      <c r="F17" s="470" t="s">
        <v>1033</v>
      </c>
      <c r="G17" s="471" t="s">
        <v>755</v>
      </c>
      <c r="H17" s="472">
        <v>20</v>
      </c>
      <c r="I17" s="321">
        <v>0</v>
      </c>
      <c r="J17" s="453" t="str">
        <f>IFERROR(IF(I17=0,"",I17/'Input-Property'!$D$42),"")</f>
        <v/>
      </c>
      <c r="K17" s="603">
        <v>5000</v>
      </c>
      <c r="L17" s="604">
        <v>1000</v>
      </c>
      <c r="M17" s="608">
        <f t="shared" si="3"/>
        <v>6000</v>
      </c>
      <c r="N17" s="473">
        <v>378.03120904245657</v>
      </c>
      <c r="O17" s="473">
        <v>0</v>
      </c>
      <c r="P17" s="455">
        <f t="shared" si="4"/>
        <v>378.03120904245657</v>
      </c>
      <c r="Q17" s="474">
        <v>0</v>
      </c>
      <c r="R17" s="473">
        <v>0</v>
      </c>
      <c r="S17" s="455">
        <f t="shared" si="5"/>
        <v>0</v>
      </c>
      <c r="T17" s="475">
        <v>3603</v>
      </c>
      <c r="U17" s="350">
        <v>0</v>
      </c>
      <c r="V17" s="350"/>
      <c r="W17" s="476">
        <v>0</v>
      </c>
      <c r="X17" s="458">
        <f>IF(T17="","",IFERROR(T17*INDEX(Assumptions!$D$6:$D$17,MATCH('Input-EWEMs'!T$11,Assumptions!$C$6:$C$17,0))/1000,""))</f>
        <v>12293.436</v>
      </c>
      <c r="Y17" s="459">
        <f>IF(U17="","",IFERROR(U17*INDEX(Assumptions!$D$6:$D$17,MATCH('Input-EWEMs'!U$11,Assumptions!$C$6:$C$17,0))/1000,""))</f>
        <v>0</v>
      </c>
      <c r="Z17" s="460" t="str">
        <f>IF(V17="","",IFERROR(V17*INDEX(Assumptions!$D$6:$D$17,MATCH('Input-EWEMs'!V$11,Assumptions!$C$6:$C$17,0))/1000,""))</f>
        <v/>
      </c>
      <c r="AA17" s="458">
        <f>IF(X17="","",IFERROR(X17*INDEX(Assumptions!$E$6:$E$17,MATCH('Input-EWEMs'!AA$10,Assumptions!$B$6:$B$17,0)),""))</f>
        <v>34421.620799999997</v>
      </c>
      <c r="AB17" s="459">
        <f>IF(Y17="","",IFERROR(Y17*INDEX(Assumptions!$E$6:$E$17,MATCH('Input-EWEMs'!AB$10,Assumptions!$B$6:$B$17,0)),""))</f>
        <v>0</v>
      </c>
      <c r="AC17" s="460" t="str">
        <f>IF(Z17="","",IFERROR(Z17*INDEX(Assumptions!$E$6:$E$17,MATCH('Input-EWEMs'!AC$10,Assumptions!$B$6:$B$17,0)),""))</f>
        <v/>
      </c>
      <c r="AD17" s="461">
        <f t="shared" si="6"/>
        <v>12293.436</v>
      </c>
      <c r="AE17" s="459">
        <f t="shared" si="7"/>
        <v>34421.620799999997</v>
      </c>
      <c r="AF17" s="459">
        <f>IF(W17="","",IFERROR(W17*INDEX(Assumptions!$D$20:$D$23,MATCH('Input-EWEMs'!W$11,Assumptions!$C$20:$C$23,0))/1000,""))</f>
        <v>0</v>
      </c>
      <c r="AG17" s="460">
        <f>IFERROR(T17*INDEX(Assumptions!$H$6:$H$17,MATCH('Input-EWEMs'!T$11,Assumptions!$C$6:$C$17,0)),0)+IFERROR(U17*INDEX(Assumptions!$H$6:$H$17,MATCH('Input-EWEMs'!U$11,Assumptions!$C$6:$C$17,0)),0)+IFERROR(V17*INDEX(Assumptions!$H$6:$H$17,MATCH('Input-EWEMs'!V$11,Assumptions!$C$6:$C$17,0)),0)</f>
        <v>2963.6460275394252</v>
      </c>
      <c r="AH17" s="464">
        <f>IFERROR(IF(D17="","",SUM(X17:Z17)/'Input-Utilities'!$N$14),"")</f>
        <v>1.4492111748139677E-3</v>
      </c>
      <c r="AI17" s="714">
        <f>IFERROR(IF(D17="","",AG17/'Input-Utilities'!$L$16),"")</f>
        <v>1.6707122132278459E-3</v>
      </c>
      <c r="AJ17" s="465">
        <f>IFERROR(IF(D17="","",W17/'Input-Utilities'!$J$13),"")</f>
        <v>0</v>
      </c>
      <c r="AK17" s="466">
        <f>IFERROR(IF($D17="","",IF(INDEX('Reference-MeasureList EULs'!D:D, MATCH('Input-EWEMs'!E17,'Reference-MeasureList EULs'!C:C,0))=0,"",INDEX('Reference-MeasureList EULs'!D:D, MATCH('Input-EWEMs'!E17,'Reference-MeasureList EULs'!C:C,0)))),"")</f>
        <v>10</v>
      </c>
    </row>
    <row r="18" spans="3:37" ht="24" x14ac:dyDescent="0.2">
      <c r="C18" s="467">
        <v>7</v>
      </c>
      <c r="D18" s="468" t="s">
        <v>143</v>
      </c>
      <c r="E18" s="469" t="s">
        <v>144</v>
      </c>
      <c r="F18" s="470" t="s">
        <v>1034</v>
      </c>
      <c r="G18" s="471" t="s">
        <v>743</v>
      </c>
      <c r="H18" s="472">
        <v>129</v>
      </c>
      <c r="I18" s="321">
        <v>129</v>
      </c>
      <c r="J18" s="453">
        <f>IFERROR(IF(I18=0,"",I18/'Input-Property'!$D$42),"")</f>
        <v>1</v>
      </c>
      <c r="K18" s="603">
        <v>50000</v>
      </c>
      <c r="L18" s="604">
        <v>10000</v>
      </c>
      <c r="M18" s="608">
        <f t="shared" si="3"/>
        <v>60000</v>
      </c>
      <c r="N18" s="473">
        <v>2067.7876957559629</v>
      </c>
      <c r="O18" s="473">
        <v>0</v>
      </c>
      <c r="P18" s="455">
        <f t="shared" si="4"/>
        <v>2067.7876957559629</v>
      </c>
      <c r="Q18" s="474">
        <v>0</v>
      </c>
      <c r="R18" s="473">
        <v>0</v>
      </c>
      <c r="S18" s="455">
        <f t="shared" si="5"/>
        <v>0</v>
      </c>
      <c r="T18" s="475">
        <v>19708</v>
      </c>
      <c r="U18" s="350">
        <v>0</v>
      </c>
      <c r="V18" s="350"/>
      <c r="W18" s="476">
        <v>0</v>
      </c>
      <c r="X18" s="458">
        <f>IF(T18="","",IFERROR(T18*INDEX(Assumptions!$D$6:$D$17,MATCH('Input-EWEMs'!T$11,Assumptions!$C$6:$C$17,0))/1000,""))</f>
        <v>67243.695999999996</v>
      </c>
      <c r="Y18" s="459">
        <f>IF(U18="","",IFERROR(U18*INDEX(Assumptions!$D$6:$D$17,MATCH('Input-EWEMs'!U$11,Assumptions!$C$6:$C$17,0))/1000,""))</f>
        <v>0</v>
      </c>
      <c r="Z18" s="460" t="str">
        <f>IF(V18="","",IFERROR(V18*INDEX(Assumptions!$D$6:$D$17,MATCH('Input-EWEMs'!V$11,Assumptions!$C$6:$C$17,0))/1000,""))</f>
        <v/>
      </c>
      <c r="AA18" s="458">
        <f>IF(X18="","",IFERROR(X18*INDEX(Assumptions!$E$6:$E$17,MATCH('Input-EWEMs'!AA$10,Assumptions!$B$6:$B$17,0)),""))</f>
        <v>188282.34879999998</v>
      </c>
      <c r="AB18" s="459">
        <f>IF(Y18="","",IFERROR(Y18*INDEX(Assumptions!$E$6:$E$17,MATCH('Input-EWEMs'!AB$10,Assumptions!$B$6:$B$17,0)),""))</f>
        <v>0</v>
      </c>
      <c r="AC18" s="460" t="str">
        <f>IF(Z18="","",IFERROR(Z18*INDEX(Assumptions!$E$6:$E$17,MATCH('Input-EWEMs'!AC$10,Assumptions!$B$6:$B$17,0)),""))</f>
        <v/>
      </c>
      <c r="AD18" s="461">
        <f t="shared" si="6"/>
        <v>67243.695999999996</v>
      </c>
      <c r="AE18" s="459">
        <f t="shared" si="7"/>
        <v>188282.34879999998</v>
      </c>
      <c r="AF18" s="459">
        <f>IF(W18="","",IFERROR(W18*INDEX(Assumptions!$D$20:$D$23,MATCH('Input-EWEMs'!W$11,Assumptions!$C$20:$C$23,0))/1000,""))</f>
        <v>0</v>
      </c>
      <c r="AG18" s="460">
        <f>IFERROR(T18*INDEX(Assumptions!$H$6:$H$17,MATCH('Input-EWEMs'!T$11,Assumptions!$C$6:$C$17,0)),0)+IFERROR(U18*INDEX(Assumptions!$H$6:$H$17,MATCH('Input-EWEMs'!U$11,Assumptions!$C$6:$C$17,0)),0)+IFERROR(V18*INDEX(Assumptions!$H$6:$H$17,MATCH('Input-EWEMs'!V$11,Assumptions!$C$6:$C$17,0)),0)</f>
        <v>16210.806525325283</v>
      </c>
      <c r="AH18" s="464">
        <f>IFERROR(IF(D18="","",SUM(X18:Z18)/'Input-Utilities'!$N$14),"")</f>
        <v>7.9270202146082911E-3</v>
      </c>
      <c r="AI18" s="714">
        <f>IFERROR(IF(D18="","",AG18/'Input-Utilities'!$L$16),"")</f>
        <v>9.1386056892296379E-3</v>
      </c>
      <c r="AJ18" s="465">
        <f>IFERROR(IF(D18="","",W18/'Input-Utilities'!$J$13),"")</f>
        <v>0</v>
      </c>
      <c r="AK18" s="466">
        <f>IFERROR(IF($D18="","",IF(INDEX('Reference-MeasureList EULs'!D:D, MATCH('Input-EWEMs'!E18,'Reference-MeasureList EULs'!C:C,0))=0,"",INDEX('Reference-MeasureList EULs'!D:D, MATCH('Input-EWEMs'!E18,'Reference-MeasureList EULs'!C:C,0)))),"")</f>
        <v>10</v>
      </c>
    </row>
    <row r="19" spans="3:37" ht="24" x14ac:dyDescent="0.2">
      <c r="C19" s="467">
        <v>8</v>
      </c>
      <c r="D19" s="468" t="s">
        <v>143</v>
      </c>
      <c r="E19" s="469" t="s">
        <v>145</v>
      </c>
      <c r="F19" s="470" t="s">
        <v>1035</v>
      </c>
      <c r="G19" s="471" t="s">
        <v>743</v>
      </c>
      <c r="H19" s="472">
        <v>129</v>
      </c>
      <c r="I19" s="321">
        <v>129</v>
      </c>
      <c r="J19" s="453">
        <f>IFERROR(IF(I19=0,"",I19/'Input-Property'!$D$42),"")</f>
        <v>1</v>
      </c>
      <c r="K19" s="603">
        <v>103200</v>
      </c>
      <c r="L19" s="604">
        <v>10000</v>
      </c>
      <c r="M19" s="608">
        <f t="shared" si="3"/>
        <v>113200</v>
      </c>
      <c r="N19" s="473">
        <v>406.04517873835886</v>
      </c>
      <c r="O19" s="473">
        <v>0</v>
      </c>
      <c r="P19" s="455">
        <f t="shared" si="4"/>
        <v>406.04517873835886</v>
      </c>
      <c r="Q19" s="474">
        <v>0</v>
      </c>
      <c r="R19" s="473">
        <v>355.63354261879243</v>
      </c>
      <c r="S19" s="455">
        <f t="shared" si="5"/>
        <v>355.63354261879243</v>
      </c>
      <c r="T19" s="475">
        <v>3870</v>
      </c>
      <c r="U19" s="350">
        <v>0</v>
      </c>
      <c r="V19" s="350"/>
      <c r="W19" s="476">
        <v>80000</v>
      </c>
      <c r="X19" s="458">
        <f>IF(T19="","",IFERROR(T19*INDEX(Assumptions!$D$6:$D$17,MATCH('Input-EWEMs'!T$11,Assumptions!$C$6:$C$17,0))/1000,""))</f>
        <v>13204.44</v>
      </c>
      <c r="Y19" s="459">
        <f>IF(U19="","",IFERROR(U19*INDEX(Assumptions!$D$6:$D$17,MATCH('Input-EWEMs'!U$11,Assumptions!$C$6:$C$17,0))/1000,""))</f>
        <v>0</v>
      </c>
      <c r="Z19" s="460" t="str">
        <f>IF(V19="","",IFERROR(V19*INDEX(Assumptions!$D$6:$D$17,MATCH('Input-EWEMs'!V$11,Assumptions!$C$6:$C$17,0))/1000,""))</f>
        <v/>
      </c>
      <c r="AA19" s="458">
        <f>IF(X19="","",IFERROR(X19*INDEX(Assumptions!$E$6:$E$17,MATCH('Input-EWEMs'!AA$10,Assumptions!$B$6:$B$17,0)),""))</f>
        <v>36972.432000000001</v>
      </c>
      <c r="AB19" s="459">
        <f>IF(Y19="","",IFERROR(Y19*INDEX(Assumptions!$E$6:$E$17,MATCH('Input-EWEMs'!AB$10,Assumptions!$B$6:$B$17,0)),""))</f>
        <v>0</v>
      </c>
      <c r="AC19" s="460" t="str">
        <f>IF(Z19="","",IFERROR(Z19*INDEX(Assumptions!$E$6:$E$17,MATCH('Input-EWEMs'!AC$10,Assumptions!$B$6:$B$17,0)),""))</f>
        <v/>
      </c>
      <c r="AD19" s="461">
        <f t="shared" si="6"/>
        <v>13204.44</v>
      </c>
      <c r="AE19" s="459">
        <f t="shared" si="7"/>
        <v>36972.432000000001</v>
      </c>
      <c r="AF19" s="459">
        <f>IF(W19="","",IFERROR(W19*INDEX(Assumptions!$D$20:$D$23,MATCH('Input-EWEMs'!W$11,Assumptions!$C$20:$C$23,0))/1000,""))</f>
        <v>80</v>
      </c>
      <c r="AG19" s="460">
        <f>IFERROR(T19*INDEX(Assumptions!$H$6:$H$17,MATCH('Input-EWEMs'!T$11,Assumptions!$C$6:$C$17,0)),0)+IFERROR(U19*INDEX(Assumptions!$H$6:$H$17,MATCH('Input-EWEMs'!U$11,Assumptions!$C$6:$C$17,0)),0)+IFERROR(V19*INDEX(Assumptions!$H$6:$H$17,MATCH('Input-EWEMs'!V$11,Assumptions!$C$6:$C$17,0)),0)</f>
        <v>3183.2667573071262</v>
      </c>
      <c r="AH19" s="464">
        <f>IFERROR(IF(D19="","",SUM(X19:Z19)/'Input-Utilities'!$N$14),"")</f>
        <v>1.5566048422231628E-3</v>
      </c>
      <c r="AI19" s="714">
        <f>IFERROR(IF(D19="","",AG19/'Input-Utilities'!$L$16),"")</f>
        <v>1.7945201957234981E-3</v>
      </c>
      <c r="AJ19" s="465">
        <f>IFERROR(IF(D19="","",W19/'Input-Utilities'!$J$13),"")</f>
        <v>1.047431083617209E-2</v>
      </c>
      <c r="AK19" s="466">
        <f>IFERROR(IF($D19="","",IF(INDEX('Reference-MeasureList EULs'!D:D, MATCH('Input-EWEMs'!E19,'Reference-MeasureList EULs'!C:C,0))=0,"",INDEX('Reference-MeasureList EULs'!D:D, MATCH('Input-EWEMs'!E19,'Reference-MeasureList EULs'!C:C,0)))),"")</f>
        <v>7.5</v>
      </c>
    </row>
    <row r="20" spans="3:37" ht="24" x14ac:dyDescent="0.2">
      <c r="C20" s="467">
        <v>9</v>
      </c>
      <c r="D20" s="468" t="s">
        <v>136</v>
      </c>
      <c r="E20" s="469" t="s">
        <v>142</v>
      </c>
      <c r="F20" s="470" t="s">
        <v>1036</v>
      </c>
      <c r="G20" s="471" t="s">
        <v>743</v>
      </c>
      <c r="H20" s="472">
        <v>235</v>
      </c>
      <c r="I20" s="321">
        <v>129</v>
      </c>
      <c r="J20" s="453">
        <f>IFERROR(IF(I20=0,"",I20/'Input-Property'!$D$42),"")</f>
        <v>1</v>
      </c>
      <c r="K20" s="603">
        <v>1551</v>
      </c>
      <c r="L20" s="604">
        <v>1300</v>
      </c>
      <c r="M20" s="608">
        <f t="shared" si="3"/>
        <v>2851</v>
      </c>
      <c r="N20" s="473">
        <v>997.38728117184701</v>
      </c>
      <c r="O20" s="473">
        <v>0</v>
      </c>
      <c r="P20" s="455">
        <f t="shared" si="4"/>
        <v>997.38728117184701</v>
      </c>
      <c r="Q20" s="474">
        <v>0</v>
      </c>
      <c r="R20" s="473">
        <v>1111.3548206837265</v>
      </c>
      <c r="S20" s="455">
        <f t="shared" si="5"/>
        <v>1111.3548206837265</v>
      </c>
      <c r="T20" s="475">
        <v>0</v>
      </c>
      <c r="U20" s="350">
        <v>766</v>
      </c>
      <c r="V20" s="350"/>
      <c r="W20" s="476">
        <v>250000</v>
      </c>
      <c r="X20" s="458">
        <f>IF(T20="","",IFERROR(T20*INDEX(Assumptions!$D$6:$D$17,MATCH('Input-EWEMs'!T$11,Assumptions!$C$6:$C$17,0))/1000,""))</f>
        <v>0</v>
      </c>
      <c r="Y20" s="459">
        <f>IF(U20="","",IFERROR(U20*INDEX(Assumptions!$D$6:$D$17,MATCH('Input-EWEMs'!U$11,Assumptions!$C$6:$C$17,0))/1000,""))</f>
        <v>76600</v>
      </c>
      <c r="Z20" s="460" t="str">
        <f>IF(V20="","",IFERROR(V20*INDEX(Assumptions!$D$6:$D$17,MATCH('Input-EWEMs'!V$11,Assumptions!$C$6:$C$17,0))/1000,""))</f>
        <v/>
      </c>
      <c r="AA20" s="458">
        <f>IF(X20="","",IFERROR(X20*INDEX(Assumptions!$E$6:$E$17,MATCH('Input-EWEMs'!AA$10,Assumptions!$B$6:$B$17,0)),""))</f>
        <v>0</v>
      </c>
      <c r="AB20" s="459">
        <f>IF(Y20="","",IFERROR(Y20*INDEX(Assumptions!$E$6:$E$17,MATCH('Input-EWEMs'!AB$10,Assumptions!$B$6:$B$17,0)),""))</f>
        <v>80430</v>
      </c>
      <c r="AC20" s="460" t="str">
        <f>IF(Z20="","",IFERROR(Z20*INDEX(Assumptions!$E$6:$E$17,MATCH('Input-EWEMs'!AC$10,Assumptions!$B$6:$B$17,0)),""))</f>
        <v/>
      </c>
      <c r="AD20" s="461">
        <f t="shared" si="6"/>
        <v>76600</v>
      </c>
      <c r="AE20" s="459">
        <f t="shared" si="7"/>
        <v>80430</v>
      </c>
      <c r="AF20" s="459">
        <f>IF(W20="","",IFERROR(W20*INDEX(Assumptions!$D$20:$D$23,MATCH('Input-EWEMs'!W$11,Assumptions!$C$20:$C$23,0))/1000,""))</f>
        <v>250</v>
      </c>
      <c r="AG20" s="460">
        <f>IFERROR(T20*INDEX(Assumptions!$H$6:$H$17,MATCH('Input-EWEMs'!T$11,Assumptions!$C$6:$C$17,0)),0)+IFERROR(U20*INDEX(Assumptions!$H$6:$H$17,MATCH('Input-EWEMs'!U$11,Assumptions!$C$6:$C$17,0)),0)+IFERROR(V20*INDEX(Assumptions!$H$6:$H$17,MATCH('Input-EWEMs'!V$11,Assumptions!$C$6:$C$17,0)),0)</f>
        <v>8968.9030628721193</v>
      </c>
      <c r="AH20" s="464">
        <f>IFERROR(IF(D20="","",SUM(X20:Z20)/'Input-Utilities'!$N$14),"")</f>
        <v>9.0299877097623424E-3</v>
      </c>
      <c r="AI20" s="714">
        <f>IFERROR(IF(D20="","",AG20/'Input-Utilities'!$L$16),"")</f>
        <v>5.0560882599188029E-3</v>
      </c>
      <c r="AJ20" s="465">
        <f>IFERROR(IF(D20="","",W20/'Input-Utilities'!$J$13),"")</f>
        <v>3.2732221363037779E-2</v>
      </c>
      <c r="AK20" s="466">
        <f>IFERROR(IF($D20="","",IF(INDEX('Reference-MeasureList EULs'!D:D, MATCH('Input-EWEMs'!E20,'Reference-MeasureList EULs'!C:C,0))=0,"",INDEX('Reference-MeasureList EULs'!D:D, MATCH('Input-EWEMs'!E20,'Reference-MeasureList EULs'!C:C,0)))),"")</f>
        <v>17.5</v>
      </c>
    </row>
    <row r="21" spans="3:37" x14ac:dyDescent="0.2">
      <c r="C21" s="467">
        <v>10</v>
      </c>
      <c r="D21" s="468" t="s">
        <v>136</v>
      </c>
      <c r="E21" s="469" t="s">
        <v>141</v>
      </c>
      <c r="F21" s="470" t="s">
        <v>1037</v>
      </c>
      <c r="G21" s="471" t="s">
        <v>743</v>
      </c>
      <c r="H21" s="472">
        <v>129</v>
      </c>
      <c r="I21" s="321">
        <v>129</v>
      </c>
      <c r="J21" s="453">
        <f>IFERROR(IF(I21=0,"",I21/'Input-Property'!$D$42),"")</f>
        <v>1</v>
      </c>
      <c r="K21" s="603">
        <v>851</v>
      </c>
      <c r="L21" s="604">
        <v>1000</v>
      </c>
      <c r="M21" s="608">
        <f t="shared" si="3"/>
        <v>1851</v>
      </c>
      <c r="N21" s="473">
        <v>1199.2084673097534</v>
      </c>
      <c r="O21" s="473">
        <v>0</v>
      </c>
      <c r="P21" s="455">
        <f t="shared" si="4"/>
        <v>1199.2084673097534</v>
      </c>
      <c r="Q21" s="474">
        <v>0</v>
      </c>
      <c r="R21" s="473">
        <v>1911.5302915760094</v>
      </c>
      <c r="S21" s="455">
        <f t="shared" si="5"/>
        <v>1911.5302915760094</v>
      </c>
      <c r="T21" s="475">
        <v>0</v>
      </c>
      <c r="U21" s="350">
        <v>921</v>
      </c>
      <c r="V21" s="350"/>
      <c r="W21" s="476">
        <v>430000</v>
      </c>
      <c r="X21" s="458">
        <f>IF(T21="","",IFERROR(T21*INDEX(Assumptions!$D$6:$D$17,MATCH('Input-EWEMs'!T$11,Assumptions!$C$6:$C$17,0))/1000,""))</f>
        <v>0</v>
      </c>
      <c r="Y21" s="459">
        <f>IF(U21="","",IFERROR(U21*INDEX(Assumptions!$D$6:$D$17,MATCH('Input-EWEMs'!U$11,Assumptions!$C$6:$C$17,0))/1000,""))</f>
        <v>92100</v>
      </c>
      <c r="Z21" s="460" t="str">
        <f>IF(V21="","",IFERROR(V21*INDEX(Assumptions!$D$6:$D$17,MATCH('Input-EWEMs'!V$11,Assumptions!$C$6:$C$17,0))/1000,""))</f>
        <v/>
      </c>
      <c r="AA21" s="458">
        <f>IF(X21="","",IFERROR(X21*INDEX(Assumptions!$E$6:$E$17,MATCH('Input-EWEMs'!AA$10,Assumptions!$B$6:$B$17,0)),""))</f>
        <v>0</v>
      </c>
      <c r="AB21" s="459">
        <f>IF(Y21="","",IFERROR(Y21*INDEX(Assumptions!$E$6:$E$17,MATCH('Input-EWEMs'!AB$10,Assumptions!$B$6:$B$17,0)),""))</f>
        <v>96705</v>
      </c>
      <c r="AC21" s="460" t="str">
        <f>IF(Z21="","",IFERROR(Z21*INDEX(Assumptions!$E$6:$E$17,MATCH('Input-EWEMs'!AC$10,Assumptions!$B$6:$B$17,0)),""))</f>
        <v/>
      </c>
      <c r="AD21" s="461">
        <f t="shared" si="6"/>
        <v>92100</v>
      </c>
      <c r="AE21" s="459">
        <f t="shared" si="7"/>
        <v>96705</v>
      </c>
      <c r="AF21" s="459">
        <f>IF(W21="","",IFERROR(W21*INDEX(Assumptions!$D$20:$D$23,MATCH('Input-EWEMs'!W$11,Assumptions!$C$20:$C$23,0))/1000,""))</f>
        <v>430</v>
      </c>
      <c r="AG21" s="460">
        <f>IFERROR(T21*INDEX(Assumptions!$H$6:$H$17,MATCH('Input-EWEMs'!T$11,Assumptions!$C$6:$C$17,0)),0)+IFERROR(U21*INDEX(Assumptions!$H$6:$H$17,MATCH('Input-EWEMs'!U$11,Assumptions!$C$6:$C$17,0)),0)+IFERROR(V21*INDEX(Assumptions!$H$6:$H$17,MATCH('Input-EWEMs'!V$11,Assumptions!$C$6:$C$17,0)),0)</f>
        <v>10783.759426769218</v>
      </c>
      <c r="AH21" s="464">
        <f>IFERROR(IF(D21="","",SUM(X21:Z21)/'Input-Utilities'!$N$14),"")</f>
        <v>1.0857204543983182E-2</v>
      </c>
      <c r="AI21" s="714">
        <f>IFERROR(IF(D21="","",AG21/'Input-Utilities'!$L$16),"")</f>
        <v>6.0791870592496302E-3</v>
      </c>
      <c r="AJ21" s="465">
        <f>IFERROR(IF(D21="","",W21/'Input-Utilities'!$J$13),"")</f>
        <v>5.6299420744424983E-2</v>
      </c>
      <c r="AK21" s="466">
        <f>IFERROR(IF($D21="","",IF(INDEX('Reference-MeasureList EULs'!D:D, MATCH('Input-EWEMs'!E21,'Reference-MeasureList EULs'!C:C,0))=0,"",INDEX('Reference-MeasureList EULs'!D:D, MATCH('Input-EWEMs'!E21,'Reference-MeasureList EULs'!C:C,0)))),"")</f>
        <v>17.5</v>
      </c>
    </row>
    <row r="22" spans="3:37" ht="24" x14ac:dyDescent="0.2">
      <c r="C22" s="467">
        <v>11</v>
      </c>
      <c r="D22" s="468" t="s">
        <v>136</v>
      </c>
      <c r="E22" s="469" t="s">
        <v>137</v>
      </c>
      <c r="F22" s="470" t="s">
        <v>1038</v>
      </c>
      <c r="G22" s="471" t="s">
        <v>743</v>
      </c>
      <c r="H22" s="472">
        <v>181</v>
      </c>
      <c r="I22" s="321">
        <v>129</v>
      </c>
      <c r="J22" s="453">
        <f>IFERROR(IF(I22=0,"",I22/'Input-Property'!$D$42),"")</f>
        <v>1</v>
      </c>
      <c r="K22" s="603">
        <v>5973</v>
      </c>
      <c r="L22" s="604">
        <v>1010</v>
      </c>
      <c r="M22" s="608">
        <f t="shared" si="3"/>
        <v>6983</v>
      </c>
      <c r="N22" s="473">
        <v>2679.664523043944</v>
      </c>
      <c r="O22" s="473">
        <v>0</v>
      </c>
      <c r="P22" s="455">
        <f t="shared" si="4"/>
        <v>2679.664523043944</v>
      </c>
      <c r="Q22" s="474">
        <v>0</v>
      </c>
      <c r="R22" s="473">
        <v>3202.9245932104996</v>
      </c>
      <c r="S22" s="455">
        <f t="shared" si="5"/>
        <v>3202.9245932104996</v>
      </c>
      <c r="T22" s="475">
        <v>0</v>
      </c>
      <c r="U22" s="350">
        <v>2058</v>
      </c>
      <c r="V22" s="350"/>
      <c r="W22" s="476">
        <v>720500</v>
      </c>
      <c r="X22" s="458">
        <f>IF(T22="","",IFERROR(T22*INDEX(Assumptions!$D$6:$D$17,MATCH('Input-EWEMs'!T$11,Assumptions!$C$6:$C$17,0))/1000,""))</f>
        <v>0</v>
      </c>
      <c r="Y22" s="459">
        <f>IF(U22="","",IFERROR(U22*INDEX(Assumptions!$D$6:$D$17,MATCH('Input-EWEMs'!U$11,Assumptions!$C$6:$C$17,0))/1000,""))</f>
        <v>205800</v>
      </c>
      <c r="Z22" s="460" t="str">
        <f>IF(V22="","",IFERROR(V22*INDEX(Assumptions!$D$6:$D$17,MATCH('Input-EWEMs'!V$11,Assumptions!$C$6:$C$17,0))/1000,""))</f>
        <v/>
      </c>
      <c r="AA22" s="458">
        <f>IF(X22="","",IFERROR(X22*INDEX(Assumptions!$E$6:$E$17,MATCH('Input-EWEMs'!AA$10,Assumptions!$B$6:$B$17,0)),""))</f>
        <v>0</v>
      </c>
      <c r="AB22" s="459">
        <f>IF(Y22="","",IFERROR(Y22*INDEX(Assumptions!$E$6:$E$17,MATCH('Input-EWEMs'!AB$10,Assumptions!$B$6:$B$17,0)),""))</f>
        <v>216090</v>
      </c>
      <c r="AC22" s="460" t="str">
        <f>IF(Z22="","",IFERROR(Z22*INDEX(Assumptions!$E$6:$E$17,MATCH('Input-EWEMs'!AC$10,Assumptions!$B$6:$B$17,0)),""))</f>
        <v/>
      </c>
      <c r="AD22" s="461">
        <f t="shared" si="6"/>
        <v>205800</v>
      </c>
      <c r="AE22" s="459">
        <f t="shared" si="7"/>
        <v>216090</v>
      </c>
      <c r="AF22" s="459">
        <f>IF(W22="","",IFERROR(W22*INDEX(Assumptions!$D$20:$D$23,MATCH('Input-EWEMs'!W$11,Assumptions!$C$20:$C$23,0))/1000,""))</f>
        <v>720.5</v>
      </c>
      <c r="AG22" s="460">
        <f>IFERROR(T22*INDEX(Assumptions!$H$6:$H$17,MATCH('Input-EWEMs'!T$11,Assumptions!$C$6:$C$17,0)),0)+IFERROR(U22*INDEX(Assumptions!$H$6:$H$17,MATCH('Input-EWEMs'!U$11,Assumptions!$C$6:$C$17,0)),0)+IFERROR(V22*INDEX(Assumptions!$H$6:$H$17,MATCH('Input-EWEMs'!V$11,Assumptions!$C$6:$C$17,0)),0)</f>
        <v>24096.609012259556</v>
      </c>
      <c r="AH22" s="464">
        <f>IFERROR(IF(D22="","",SUM(X22:Z22)/'Input-Utilities'!$N$14),"")</f>
        <v>2.4260724160170888E-2</v>
      </c>
      <c r="AI22" s="714">
        <f>IFERROR(IF(D22="","",AG22/'Input-Utilities'!$L$16),"")</f>
        <v>1.3584111800147382E-2</v>
      </c>
      <c r="AJ22" s="465">
        <f>IFERROR(IF(D22="","",W22/'Input-Utilities'!$J$13),"")</f>
        <v>9.433426196827488E-2</v>
      </c>
      <c r="AK22" s="466">
        <f>IFERROR(IF($D22="","",IF(INDEX('Reference-MeasureList EULs'!D:D, MATCH('Input-EWEMs'!E22,'Reference-MeasureList EULs'!C:C,0))=0,"",INDEX('Reference-MeasureList EULs'!D:D, MATCH('Input-EWEMs'!E22,'Reference-MeasureList EULs'!C:C,0)))),"")</f>
        <v>17.5</v>
      </c>
    </row>
    <row r="23" spans="3:37" x14ac:dyDescent="0.2">
      <c r="C23" s="467">
        <v>12</v>
      </c>
      <c r="D23" s="468" t="s">
        <v>136</v>
      </c>
      <c r="E23" s="469" t="s">
        <v>140</v>
      </c>
      <c r="F23" s="470" t="s">
        <v>1039</v>
      </c>
      <c r="G23" s="471" t="s">
        <v>743</v>
      </c>
      <c r="H23" s="472">
        <v>235</v>
      </c>
      <c r="I23" s="321">
        <v>129</v>
      </c>
      <c r="J23" s="453">
        <f>IFERROR(IF(I23=0,"",I23/'Input-Property'!$D$42),"")</f>
        <v>1</v>
      </c>
      <c r="K23" s="603">
        <v>50000</v>
      </c>
      <c r="L23" s="604">
        <v>3675</v>
      </c>
      <c r="M23" s="608">
        <f t="shared" si="3"/>
        <v>53675</v>
      </c>
      <c r="N23" s="473">
        <v>0</v>
      </c>
      <c r="O23" s="473">
        <v>0</v>
      </c>
      <c r="P23" s="455">
        <f t="shared" si="4"/>
        <v>0</v>
      </c>
      <c r="Q23" s="474">
        <v>0</v>
      </c>
      <c r="R23" s="473">
        <v>6223.5869958288677</v>
      </c>
      <c r="S23" s="455">
        <f t="shared" si="5"/>
        <v>6223.5869958288677</v>
      </c>
      <c r="T23" s="475">
        <v>0</v>
      </c>
      <c r="U23" s="350">
        <v>0</v>
      </c>
      <c r="V23" s="350"/>
      <c r="W23" s="476">
        <v>1400000</v>
      </c>
      <c r="X23" s="458">
        <f>IF(T23="","",IFERROR(T23*INDEX(Assumptions!$D$6:$D$17,MATCH('Input-EWEMs'!T$11,Assumptions!$C$6:$C$17,0))/1000,""))</f>
        <v>0</v>
      </c>
      <c r="Y23" s="459">
        <f>IF(U23="","",IFERROR(U23*INDEX(Assumptions!$D$6:$D$17,MATCH('Input-EWEMs'!U$11,Assumptions!$C$6:$C$17,0))/1000,""))</f>
        <v>0</v>
      </c>
      <c r="Z23" s="460" t="str">
        <f>IF(V23="","",IFERROR(V23*INDEX(Assumptions!$D$6:$D$17,MATCH('Input-EWEMs'!V$11,Assumptions!$C$6:$C$17,0))/1000,""))</f>
        <v/>
      </c>
      <c r="AA23" s="458">
        <f>IF(X23="","",IFERROR(X23*INDEX(Assumptions!$E$6:$E$17,MATCH('Input-EWEMs'!AA$10,Assumptions!$B$6:$B$17,0)),""))</f>
        <v>0</v>
      </c>
      <c r="AB23" s="459">
        <f>IF(Y23="","",IFERROR(Y23*INDEX(Assumptions!$E$6:$E$17,MATCH('Input-EWEMs'!AB$10,Assumptions!$B$6:$B$17,0)),""))</f>
        <v>0</v>
      </c>
      <c r="AC23" s="460" t="str">
        <f>IF(Z23="","",IFERROR(Z23*INDEX(Assumptions!$E$6:$E$17,MATCH('Input-EWEMs'!AC$10,Assumptions!$B$6:$B$17,0)),""))</f>
        <v/>
      </c>
      <c r="AD23" s="461">
        <f t="shared" si="6"/>
        <v>0</v>
      </c>
      <c r="AE23" s="459">
        <f t="shared" si="7"/>
        <v>0</v>
      </c>
      <c r="AF23" s="459">
        <f>IF(W23="","",IFERROR(W23*INDEX(Assumptions!$D$20:$D$23,MATCH('Input-EWEMs'!W$11,Assumptions!$C$20:$C$23,0))/1000,""))</f>
        <v>1400</v>
      </c>
      <c r="AG23" s="460">
        <f>IFERROR(T23*INDEX(Assumptions!$H$6:$H$17,MATCH('Input-EWEMs'!T$11,Assumptions!$C$6:$C$17,0)),0)+IFERROR(U23*INDEX(Assumptions!$H$6:$H$17,MATCH('Input-EWEMs'!U$11,Assumptions!$C$6:$C$17,0)),0)+IFERROR(V23*INDEX(Assumptions!$H$6:$H$17,MATCH('Input-EWEMs'!V$11,Assumptions!$C$6:$C$17,0)),0)</f>
        <v>0</v>
      </c>
      <c r="AH23" s="464">
        <f>IFERROR(IF(D23="","",SUM(X23:Z23)/'Input-Utilities'!$N$14),"")</f>
        <v>0</v>
      </c>
      <c r="AI23" s="714">
        <f>IFERROR(IF(D23="","",AG23/'Input-Utilities'!$L$16),"")</f>
        <v>0</v>
      </c>
      <c r="AJ23" s="465">
        <f>IFERROR(IF(D23="","",W23/'Input-Utilities'!$J$13),"")</f>
        <v>0.18330043963301157</v>
      </c>
      <c r="AK23" s="466">
        <f>IFERROR(IF($D23="","",IF(INDEX('Reference-MeasureList EULs'!D:D, MATCH('Input-EWEMs'!E23,'Reference-MeasureList EULs'!C:C,0))=0,"",INDEX('Reference-MeasureList EULs'!D:D, MATCH('Input-EWEMs'!E23,'Reference-MeasureList EULs'!C:C,0)))),"")</f>
        <v>50</v>
      </c>
    </row>
    <row r="24" spans="3:37" ht="24" x14ac:dyDescent="0.2">
      <c r="C24" s="467">
        <v>13</v>
      </c>
      <c r="D24" s="468" t="s">
        <v>868</v>
      </c>
      <c r="E24" s="469" t="s">
        <v>898</v>
      </c>
      <c r="F24" s="470" t="s">
        <v>1040</v>
      </c>
      <c r="G24" s="471" t="s">
        <v>755</v>
      </c>
      <c r="H24" s="472">
        <v>1</v>
      </c>
      <c r="I24" s="321">
        <v>0</v>
      </c>
      <c r="J24" s="453" t="str">
        <f>IFERROR(IF(I24=0,"",I24/'Input-Property'!$D$42),"")</f>
        <v/>
      </c>
      <c r="K24" s="603">
        <v>1500</v>
      </c>
      <c r="L24" s="604">
        <v>500</v>
      </c>
      <c r="M24" s="608">
        <f t="shared" si="3"/>
        <v>2000</v>
      </c>
      <c r="N24" s="473">
        <v>228.6233706643111</v>
      </c>
      <c r="O24" s="473">
        <v>0</v>
      </c>
      <c r="P24" s="455">
        <f t="shared" si="4"/>
        <v>228.6233706643111</v>
      </c>
      <c r="Q24" s="474">
        <v>0</v>
      </c>
      <c r="R24" s="473">
        <v>0</v>
      </c>
      <c r="S24" s="455">
        <f t="shared" si="5"/>
        <v>0</v>
      </c>
      <c r="T24" s="475">
        <v>2179</v>
      </c>
      <c r="U24" s="350">
        <v>0</v>
      </c>
      <c r="V24" s="350"/>
      <c r="W24" s="476">
        <v>0</v>
      </c>
      <c r="X24" s="458">
        <f>IF(T24="","",IFERROR(T24*INDEX(Assumptions!$D$6:$D$17,MATCH('Input-EWEMs'!T$11,Assumptions!$C$6:$C$17,0))/1000,""))</f>
        <v>7434.7479999999996</v>
      </c>
      <c r="Y24" s="459">
        <f>IF(U24="","",IFERROR(U24*INDEX(Assumptions!$D$6:$D$17,MATCH('Input-EWEMs'!U$11,Assumptions!$C$6:$C$17,0))/1000,""))</f>
        <v>0</v>
      </c>
      <c r="Z24" s="460" t="str">
        <f>IF(V24="","",IFERROR(V24*INDEX(Assumptions!$D$6:$D$17,MATCH('Input-EWEMs'!V$11,Assumptions!$C$6:$C$17,0))/1000,""))</f>
        <v/>
      </c>
      <c r="AA24" s="458">
        <f>IF(X24="","",IFERROR(X24*INDEX(Assumptions!$E$6:$E$17,MATCH('Input-EWEMs'!AA$10,Assumptions!$B$6:$B$17,0)),""))</f>
        <v>20817.294399999999</v>
      </c>
      <c r="AB24" s="459">
        <f>IF(Y24="","",IFERROR(Y24*INDEX(Assumptions!$E$6:$E$17,MATCH('Input-EWEMs'!AB$10,Assumptions!$B$6:$B$17,0)),""))</f>
        <v>0</v>
      </c>
      <c r="AC24" s="460" t="str">
        <f>IF(Z24="","",IFERROR(Z24*INDEX(Assumptions!$E$6:$E$17,MATCH('Input-EWEMs'!AC$10,Assumptions!$B$6:$B$17,0)),""))</f>
        <v/>
      </c>
      <c r="AD24" s="461">
        <f t="shared" si="6"/>
        <v>7434.7479999999996</v>
      </c>
      <c r="AE24" s="459">
        <f t="shared" si="7"/>
        <v>20817.294399999999</v>
      </c>
      <c r="AF24" s="459">
        <f>IF(W24="","",IFERROR(W24*INDEX(Assumptions!$D$20:$D$23,MATCH('Input-EWEMs'!W$11,Assumptions!$C$20:$C$23,0))/1000,""))</f>
        <v>0</v>
      </c>
      <c r="AG24" s="460">
        <f>IFERROR(T24*INDEX(Assumptions!$H$6:$H$17,MATCH('Input-EWEMs'!T$11,Assumptions!$C$6:$C$17,0)),0)+IFERROR(U24*INDEX(Assumptions!$H$6:$H$17,MATCH('Input-EWEMs'!U$11,Assumptions!$C$6:$C$17,0)),0)+IFERROR(V24*INDEX(Assumptions!$H$6:$H$17,MATCH('Input-EWEMs'!V$11,Assumptions!$C$6:$C$17,0)),0)</f>
        <v>1792.3354687783535</v>
      </c>
      <c r="AH24" s="464">
        <f>IFERROR(IF(D24="","",SUM(X24:Z24)/'Input-Utilities'!$N$14),"")</f>
        <v>8.764449486315946E-4</v>
      </c>
      <c r="AI24" s="714">
        <f>IFERROR(IF(D24="","",AG24/'Input-Utilities'!$L$16),"")</f>
        <v>1.0104029732510343E-3</v>
      </c>
      <c r="AJ24" s="465">
        <f>IFERROR(IF(D24="","",W24/'Input-Utilities'!$J$13),"")</f>
        <v>0</v>
      </c>
      <c r="AK24" s="466">
        <f>IFERROR(IF($D24="","",IF(INDEX('Reference-MeasureList EULs'!D:D, MATCH('Input-EWEMs'!E24,'Reference-MeasureList EULs'!C:C,0))=0,"",INDEX('Reference-MeasureList EULs'!D:D, MATCH('Input-EWEMs'!E24,'Reference-MeasureList EULs'!C:C,0)))),"")</f>
        <v>15</v>
      </c>
    </row>
    <row r="25" spans="3:37" ht="48" x14ac:dyDescent="0.2">
      <c r="C25" s="467">
        <v>14</v>
      </c>
      <c r="D25" s="468" t="s">
        <v>869</v>
      </c>
      <c r="E25" s="469" t="s">
        <v>879</v>
      </c>
      <c r="F25" s="470" t="s">
        <v>1041</v>
      </c>
      <c r="G25" s="471" t="s">
        <v>755</v>
      </c>
      <c r="H25" s="472">
        <v>1</v>
      </c>
      <c r="I25" s="321">
        <v>0</v>
      </c>
      <c r="J25" s="453" t="str">
        <f>IFERROR(IF(I25=0,"",I25/'Input-Property'!$D$42),"")</f>
        <v/>
      </c>
      <c r="K25" s="603">
        <v>1801691</v>
      </c>
      <c r="L25" s="604">
        <v>735386</v>
      </c>
      <c r="M25" s="608">
        <f t="shared" si="3"/>
        <v>2537077</v>
      </c>
      <c r="N25" s="473">
        <v>156682.02758794662</v>
      </c>
      <c r="O25" s="473">
        <v>0</v>
      </c>
      <c r="P25" s="455">
        <f t="shared" si="4"/>
        <v>156682.02758794662</v>
      </c>
      <c r="Q25" s="474">
        <v>0</v>
      </c>
      <c r="R25" s="473">
        <v>0</v>
      </c>
      <c r="S25" s="455">
        <f t="shared" si="5"/>
        <v>0</v>
      </c>
      <c r="T25" s="475">
        <v>1493330</v>
      </c>
      <c r="U25" s="350">
        <v>0</v>
      </c>
      <c r="V25" s="350"/>
      <c r="W25" s="476">
        <v>0</v>
      </c>
      <c r="X25" s="458">
        <f>IF(T25="","",IFERROR(T25*INDEX(Assumptions!$D$6:$D$17,MATCH('Input-EWEMs'!T$11,Assumptions!$C$6:$C$17,0))/1000,""))</f>
        <v>5095241.96</v>
      </c>
      <c r="Y25" s="459">
        <f>IF(U25="","",IFERROR(U25*INDEX(Assumptions!$D$6:$D$17,MATCH('Input-EWEMs'!U$11,Assumptions!$C$6:$C$17,0))/1000,""))</f>
        <v>0</v>
      </c>
      <c r="Z25" s="460" t="str">
        <f>IF(V25="","",IFERROR(V25*INDEX(Assumptions!$D$6:$D$17,MATCH('Input-EWEMs'!V$11,Assumptions!$C$6:$C$17,0))/1000,""))</f>
        <v/>
      </c>
      <c r="AA25" s="458">
        <f>IF(X25="","",IFERROR(X25*INDEX(Assumptions!$E$6:$E$17,MATCH('Input-EWEMs'!AA$10,Assumptions!$B$6:$B$17,0)),""))</f>
        <v>14266677.488</v>
      </c>
      <c r="AB25" s="459">
        <f>IF(Y25="","",IFERROR(Y25*INDEX(Assumptions!$E$6:$E$17,MATCH('Input-EWEMs'!AB$10,Assumptions!$B$6:$B$17,0)),""))</f>
        <v>0</v>
      </c>
      <c r="AC25" s="460" t="str">
        <f>IF(Z25="","",IFERROR(Z25*INDEX(Assumptions!$E$6:$E$17,MATCH('Input-EWEMs'!AC$10,Assumptions!$B$6:$B$17,0)),""))</f>
        <v/>
      </c>
      <c r="AD25" s="461">
        <f t="shared" si="6"/>
        <v>5095241.96</v>
      </c>
      <c r="AE25" s="459">
        <f t="shared" si="7"/>
        <v>14266677.488</v>
      </c>
      <c r="AF25" s="459">
        <f>IF(W25="","",IFERROR(W25*INDEX(Assumptions!$D$20:$D$23,MATCH('Input-EWEMs'!W$11,Assumptions!$C$20:$C$23,0))/1000,""))</f>
        <v>0</v>
      </c>
      <c r="AG25" s="460">
        <f>IFERROR(T25*INDEX(Assumptions!$H$6:$H$17,MATCH('Input-EWEMs'!T$11,Assumptions!$C$6:$C$17,0)),0)+IFERROR(U25*INDEX(Assumptions!$H$6:$H$17,MATCH('Input-EWEMs'!U$11,Assumptions!$C$6:$C$17,0)),0)+IFERROR(V25*INDEX(Assumptions!$H$6:$H$17,MATCH('Input-EWEMs'!V$11,Assumptions!$C$6:$C$17,0)),0)</f>
        <v>1228337.9190412017</v>
      </c>
      <c r="AH25" s="464">
        <f>IFERROR(IF(D25="","",SUM(X25:Z25)/'Input-Utilities'!$N$14),"")</f>
        <v>0.60065237959615392</v>
      </c>
      <c r="AI25" s="714">
        <f>IFERROR(IF(D25="","",AG25/'Input-Utilities'!$L$16),"")</f>
        <v>0.69245758239787369</v>
      </c>
      <c r="AJ25" s="465">
        <f>IFERROR(IF(D25="","",W25/'Input-Utilities'!$J$13),"")</f>
        <v>0</v>
      </c>
      <c r="AK25" s="466">
        <f>IFERROR(IF($D25="","",IF(INDEX('Reference-MeasureList EULs'!D:D, MATCH('Input-EWEMs'!E25,'Reference-MeasureList EULs'!C:C,0))=0,"",INDEX('Reference-MeasureList EULs'!D:D, MATCH('Input-EWEMs'!E25,'Reference-MeasureList EULs'!C:C,0)))),"")</f>
        <v>25</v>
      </c>
    </row>
    <row r="26" spans="3:37" ht="48" x14ac:dyDescent="0.2">
      <c r="C26" s="467">
        <v>15</v>
      </c>
      <c r="D26" s="468" t="s">
        <v>865</v>
      </c>
      <c r="E26" s="469" t="s">
        <v>924</v>
      </c>
      <c r="F26" s="470" t="s">
        <v>1042</v>
      </c>
      <c r="G26" s="471" t="s">
        <v>755</v>
      </c>
      <c r="H26" s="472">
        <v>1</v>
      </c>
      <c r="I26" s="321">
        <v>0</v>
      </c>
      <c r="J26" s="453" t="str">
        <f>IFERROR(IF(I26=0,"",I26/'Input-Property'!$D$42),"")</f>
        <v/>
      </c>
      <c r="K26" s="603">
        <v>200000</v>
      </c>
      <c r="L26" s="604">
        <v>80000</v>
      </c>
      <c r="M26" s="608">
        <f t="shared" si="3"/>
        <v>280000</v>
      </c>
      <c r="N26" s="473">
        <v>0</v>
      </c>
      <c r="O26" s="473">
        <v>0</v>
      </c>
      <c r="P26" s="455">
        <f t="shared" si="4"/>
        <v>0</v>
      </c>
      <c r="Q26" s="474">
        <v>0</v>
      </c>
      <c r="R26" s="473">
        <v>0</v>
      </c>
      <c r="S26" s="455">
        <f t="shared" si="5"/>
        <v>0</v>
      </c>
      <c r="T26" s="475">
        <v>0</v>
      </c>
      <c r="U26" s="350">
        <v>0</v>
      </c>
      <c r="V26" s="350"/>
      <c r="W26" s="476">
        <v>0</v>
      </c>
      <c r="X26" s="458">
        <f>IF(T26="","",IFERROR(T26*INDEX(Assumptions!$D$6:$D$17,MATCH('Input-EWEMs'!T$11,Assumptions!$C$6:$C$17,0))/1000,""))</f>
        <v>0</v>
      </c>
      <c r="Y26" s="459">
        <f>IF(U26="","",IFERROR(U26*INDEX(Assumptions!$D$6:$D$17,MATCH('Input-EWEMs'!U$11,Assumptions!$C$6:$C$17,0))/1000,""))</f>
        <v>0</v>
      </c>
      <c r="Z26" s="460" t="str">
        <f>IF(V26="","",IFERROR(V26*INDEX(Assumptions!$D$6:$D$17,MATCH('Input-EWEMs'!V$11,Assumptions!$C$6:$C$17,0))/1000,""))</f>
        <v/>
      </c>
      <c r="AA26" s="458">
        <f>IF(X26="","",IFERROR(X26*INDEX(Assumptions!$E$6:$E$17,MATCH('Input-EWEMs'!AA$10,Assumptions!$B$6:$B$17,0)),""))</f>
        <v>0</v>
      </c>
      <c r="AB26" s="459">
        <f>IF(Y26="","",IFERROR(Y26*INDEX(Assumptions!$E$6:$E$17,MATCH('Input-EWEMs'!AB$10,Assumptions!$B$6:$B$17,0)),""))</f>
        <v>0</v>
      </c>
      <c r="AC26" s="460" t="str">
        <f>IF(Z26="","",IFERROR(Z26*INDEX(Assumptions!$E$6:$E$17,MATCH('Input-EWEMs'!AC$10,Assumptions!$B$6:$B$17,0)),""))</f>
        <v/>
      </c>
      <c r="AD26" s="461">
        <f t="shared" si="6"/>
        <v>0</v>
      </c>
      <c r="AE26" s="459">
        <f t="shared" si="7"/>
        <v>0</v>
      </c>
      <c r="AF26" s="459">
        <f>IF(W26="","",IFERROR(W26*INDEX(Assumptions!$D$20:$D$23,MATCH('Input-EWEMs'!W$11,Assumptions!$C$20:$C$23,0))/1000,""))</f>
        <v>0</v>
      </c>
      <c r="AG26" s="460">
        <f>IFERROR(T26*INDEX(Assumptions!$H$6:$H$17,MATCH('Input-EWEMs'!T$11,Assumptions!$C$6:$C$17,0)),0)+IFERROR(U26*INDEX(Assumptions!$H$6:$H$17,MATCH('Input-EWEMs'!U$11,Assumptions!$C$6:$C$17,0)),0)+IFERROR(V26*INDEX(Assumptions!$H$6:$H$17,MATCH('Input-EWEMs'!V$11,Assumptions!$C$6:$C$17,0)),0)</f>
        <v>0</v>
      </c>
      <c r="AH26" s="464">
        <f>IFERROR(IF(D26="","",SUM(X26:Z26)/'Input-Utilities'!$N$14),"")</f>
        <v>0</v>
      </c>
      <c r="AI26" s="714">
        <f>IFERROR(IF(D26="","",AG26/'Input-Utilities'!$L$16),"")</f>
        <v>0</v>
      </c>
      <c r="AJ26" s="465">
        <f>IFERROR(IF(D26="","",W26/'Input-Utilities'!$J$13),"")</f>
        <v>0</v>
      </c>
      <c r="AK26" s="466">
        <f>IFERROR(IF($D26="","",IF(INDEX('Reference-MeasureList EULs'!D:D, MATCH('Input-EWEMs'!E26,'Reference-MeasureList EULs'!C:C,0))=0,"",INDEX('Reference-MeasureList EULs'!D:D, MATCH('Input-EWEMs'!E26,'Reference-MeasureList EULs'!C:C,0)))),"")</f>
        <v>20</v>
      </c>
    </row>
    <row r="27" spans="3:37" x14ac:dyDescent="0.2">
      <c r="C27" s="467">
        <v>16</v>
      </c>
      <c r="D27" s="468"/>
      <c r="E27" s="469"/>
      <c r="F27" s="470"/>
      <c r="G27" s="471"/>
      <c r="H27" s="472"/>
      <c r="I27" s="321"/>
      <c r="J27" s="453" t="str">
        <f>IFERROR(IF(I27=0,"",I27/'Input-Property'!$D$42),"")</f>
        <v/>
      </c>
      <c r="K27" s="603"/>
      <c r="L27" s="604"/>
      <c r="M27" s="608" t="str">
        <f t="shared" si="3"/>
        <v/>
      </c>
      <c r="N27" s="473"/>
      <c r="O27" s="473"/>
      <c r="P27" s="455" t="str">
        <f t="shared" si="4"/>
        <v/>
      </c>
      <c r="Q27" s="474"/>
      <c r="R27" s="473"/>
      <c r="S27" s="455" t="str">
        <f t="shared" si="5"/>
        <v/>
      </c>
      <c r="T27" s="475"/>
      <c r="U27" s="350"/>
      <c r="V27" s="350"/>
      <c r="W27" s="476"/>
      <c r="X27" s="458" t="str">
        <f>IF(T27="","",IFERROR(T27*INDEX(Assumptions!$D$6:$D$17,MATCH('Input-EWEMs'!T$11,Assumptions!$C$6:$C$17,0))/1000,""))</f>
        <v/>
      </c>
      <c r="Y27" s="459" t="str">
        <f>IF(U27="","",IFERROR(U27*INDEX(Assumptions!$D$6:$D$17,MATCH('Input-EWEMs'!U$11,Assumptions!$C$6:$C$17,0))/1000,""))</f>
        <v/>
      </c>
      <c r="Z27" s="460" t="str">
        <f>IF(V27="","",IFERROR(V27*INDEX(Assumptions!$D$6:$D$17,MATCH('Input-EWEMs'!V$11,Assumptions!$C$6:$C$17,0))/1000,""))</f>
        <v/>
      </c>
      <c r="AA27" s="458" t="str">
        <f>IF(X27="","",IFERROR(X27*INDEX(Assumptions!$E$6:$E$17,MATCH('Input-EWEMs'!AA$10,Assumptions!$B$6:$B$17,0)),""))</f>
        <v/>
      </c>
      <c r="AB27" s="459" t="str">
        <f>IF(Y27="","",IFERROR(Y27*INDEX(Assumptions!$E$6:$E$17,MATCH('Input-EWEMs'!AB$10,Assumptions!$B$6:$B$17,0)),""))</f>
        <v/>
      </c>
      <c r="AC27" s="460" t="str">
        <f>IF(Z27="","",IFERROR(Z27*INDEX(Assumptions!$E$6:$E$17,MATCH('Input-EWEMs'!AC$10,Assumptions!$B$6:$B$17,0)),""))</f>
        <v/>
      </c>
      <c r="AD27" s="461">
        <f t="shared" si="6"/>
        <v>0</v>
      </c>
      <c r="AE27" s="459">
        <f t="shared" si="7"/>
        <v>0</v>
      </c>
      <c r="AF27" s="459" t="str">
        <f>IF(W27="","",IFERROR(W27*INDEX(Assumptions!$D$20:$D$23,MATCH('Input-EWEMs'!W$11,Assumptions!$C$20:$C$23,0))/1000,""))</f>
        <v/>
      </c>
      <c r="AG27" s="460">
        <f>IFERROR(T27*INDEX(Assumptions!$H$6:$H$17,MATCH('Input-EWEMs'!T$11,Assumptions!$C$6:$C$17,0)),0)+IFERROR(U27*INDEX(Assumptions!$H$6:$H$17,MATCH('Input-EWEMs'!U$11,Assumptions!$C$6:$C$17,0)),0)+IFERROR(V27*INDEX(Assumptions!$H$6:$H$17,MATCH('Input-EWEMs'!V$11,Assumptions!$C$6:$C$17,0)),0)</f>
        <v>0</v>
      </c>
      <c r="AH27" s="464" t="str">
        <f>IFERROR(IF(D27="","",SUM(X27:Z27)/'Input-Utilities'!$N$14),"")</f>
        <v/>
      </c>
      <c r="AI27" s="714" t="str">
        <f>IFERROR(IF(D27="","",AG27/'Input-Utilities'!$L$16),"")</f>
        <v/>
      </c>
      <c r="AJ27" s="465" t="str">
        <f>IFERROR(IF(D27="","",W27/'Input-Utilities'!$J$13),"")</f>
        <v/>
      </c>
      <c r="AK27" s="466" t="str">
        <f>IFERROR(IF($D27="","",IF(INDEX('Reference-MeasureList EULs'!D:D, MATCH('Input-EWEMs'!E27,'Reference-MeasureList EULs'!C:C,0))=0,"",INDEX('Reference-MeasureList EULs'!D:D, MATCH('Input-EWEMs'!E27,'Reference-MeasureList EULs'!C:C,0)))),"")</f>
        <v/>
      </c>
    </row>
    <row r="28" spans="3:37" x14ac:dyDescent="0.2">
      <c r="C28" s="467">
        <v>17</v>
      </c>
      <c r="D28" s="468"/>
      <c r="E28" s="469"/>
      <c r="F28" s="470"/>
      <c r="G28" s="471"/>
      <c r="H28" s="472"/>
      <c r="I28" s="321"/>
      <c r="J28" s="453" t="str">
        <f>IFERROR(IF(I28=0,"",I28/'Input-Property'!$D$42),"")</f>
        <v/>
      </c>
      <c r="K28" s="603"/>
      <c r="L28" s="604"/>
      <c r="M28" s="608" t="str">
        <f t="shared" si="3"/>
        <v/>
      </c>
      <c r="N28" s="473"/>
      <c r="O28" s="473"/>
      <c r="P28" s="455" t="str">
        <f t="shared" si="4"/>
        <v/>
      </c>
      <c r="Q28" s="474"/>
      <c r="R28" s="473"/>
      <c r="S28" s="455" t="str">
        <f t="shared" si="5"/>
        <v/>
      </c>
      <c r="T28" s="475"/>
      <c r="U28" s="350"/>
      <c r="V28" s="350"/>
      <c r="W28" s="476"/>
      <c r="X28" s="458" t="str">
        <f>IF(T28="","",IFERROR(T28*INDEX(Assumptions!$D$6:$D$17,MATCH('Input-EWEMs'!T$11,Assumptions!$C$6:$C$17,0))/1000,""))</f>
        <v/>
      </c>
      <c r="Y28" s="459" t="str">
        <f>IF(U28="","",IFERROR(U28*INDEX(Assumptions!$D$6:$D$17,MATCH('Input-EWEMs'!U$11,Assumptions!$C$6:$C$17,0))/1000,""))</f>
        <v/>
      </c>
      <c r="Z28" s="460" t="str">
        <f>IF(V28="","",IFERROR(V28*INDEX(Assumptions!$D$6:$D$17,MATCH('Input-EWEMs'!V$11,Assumptions!$C$6:$C$17,0))/1000,""))</f>
        <v/>
      </c>
      <c r="AA28" s="458" t="str">
        <f>IF(X28="","",IFERROR(X28*INDEX(Assumptions!$E$6:$E$17,MATCH('Input-EWEMs'!AA$10,Assumptions!$B$6:$B$17,0)),""))</f>
        <v/>
      </c>
      <c r="AB28" s="459" t="str">
        <f>IF(Y28="","",IFERROR(Y28*INDEX(Assumptions!$E$6:$E$17,MATCH('Input-EWEMs'!AB$10,Assumptions!$B$6:$B$17,0)),""))</f>
        <v/>
      </c>
      <c r="AC28" s="460" t="str">
        <f>IF(Z28="","",IFERROR(Z28*INDEX(Assumptions!$E$6:$E$17,MATCH('Input-EWEMs'!AC$10,Assumptions!$B$6:$B$17,0)),""))</f>
        <v/>
      </c>
      <c r="AD28" s="461">
        <f t="shared" si="6"/>
        <v>0</v>
      </c>
      <c r="AE28" s="459">
        <f t="shared" si="7"/>
        <v>0</v>
      </c>
      <c r="AF28" s="459" t="str">
        <f>IF(W28="","",IFERROR(W28*INDEX(Assumptions!$D$20:$D$23,MATCH('Input-EWEMs'!W$11,Assumptions!$C$20:$C$23,0))/1000,""))</f>
        <v/>
      </c>
      <c r="AG28" s="460">
        <f>IFERROR(T28*INDEX(Assumptions!$H$6:$H$17,MATCH('Input-EWEMs'!T$11,Assumptions!$C$6:$C$17,0)),0)+IFERROR(U28*INDEX(Assumptions!$H$6:$H$17,MATCH('Input-EWEMs'!U$11,Assumptions!$C$6:$C$17,0)),0)+IFERROR(V28*INDEX(Assumptions!$H$6:$H$17,MATCH('Input-EWEMs'!V$11,Assumptions!$C$6:$C$17,0)),0)</f>
        <v>0</v>
      </c>
      <c r="AH28" s="464" t="str">
        <f>IFERROR(IF(D28="","",SUM(X28:Z28)/'Input-Utilities'!$N$14),"")</f>
        <v/>
      </c>
      <c r="AI28" s="714" t="str">
        <f>IFERROR(IF(D28="","",AG28/'Input-Utilities'!$L$16),"")</f>
        <v/>
      </c>
      <c r="AJ28" s="465" t="str">
        <f>IFERROR(IF(D28="","",W28/'Input-Utilities'!$J$13),"")</f>
        <v/>
      </c>
      <c r="AK28" s="466" t="str">
        <f>IFERROR(IF($D28="","",IF(INDEX('Reference-MeasureList EULs'!D:D, MATCH('Input-EWEMs'!E28,'Reference-MeasureList EULs'!C:C,0))=0,"",INDEX('Reference-MeasureList EULs'!D:D, MATCH('Input-EWEMs'!E28,'Reference-MeasureList EULs'!C:C,0)))),"")</f>
        <v/>
      </c>
    </row>
    <row r="29" spans="3:37" x14ac:dyDescent="0.2">
      <c r="C29" s="467">
        <v>18</v>
      </c>
      <c r="D29" s="468"/>
      <c r="E29" s="469"/>
      <c r="F29" s="470"/>
      <c r="G29" s="471"/>
      <c r="H29" s="472"/>
      <c r="I29" s="321"/>
      <c r="J29" s="453" t="str">
        <f>IFERROR(IF(I29=0,"",I29/'Input-Property'!$D$42),"")</f>
        <v/>
      </c>
      <c r="K29" s="603"/>
      <c r="L29" s="604"/>
      <c r="M29" s="608" t="str">
        <f t="shared" si="3"/>
        <v/>
      </c>
      <c r="N29" s="473"/>
      <c r="O29" s="473"/>
      <c r="P29" s="455" t="str">
        <f t="shared" si="4"/>
        <v/>
      </c>
      <c r="Q29" s="474"/>
      <c r="R29" s="473"/>
      <c r="S29" s="455" t="str">
        <f t="shared" si="5"/>
        <v/>
      </c>
      <c r="T29" s="475"/>
      <c r="U29" s="350"/>
      <c r="V29" s="350"/>
      <c r="W29" s="476"/>
      <c r="X29" s="458" t="str">
        <f>IF(T29="","",IFERROR(T29*INDEX(Assumptions!$D$6:$D$17,MATCH('Input-EWEMs'!T$11,Assumptions!$C$6:$C$17,0))/1000,""))</f>
        <v/>
      </c>
      <c r="Y29" s="459" t="str">
        <f>IF(U29="","",IFERROR(U29*INDEX(Assumptions!$D$6:$D$17,MATCH('Input-EWEMs'!U$11,Assumptions!$C$6:$C$17,0))/1000,""))</f>
        <v/>
      </c>
      <c r="Z29" s="460" t="str">
        <f>IF(V29="","",IFERROR(V29*INDEX(Assumptions!$D$6:$D$17,MATCH('Input-EWEMs'!V$11,Assumptions!$C$6:$C$17,0))/1000,""))</f>
        <v/>
      </c>
      <c r="AA29" s="458" t="str">
        <f>IF(X29="","",IFERROR(X29*INDEX(Assumptions!$E$6:$E$17,MATCH('Input-EWEMs'!AA$10,Assumptions!$B$6:$B$17,0)),""))</f>
        <v/>
      </c>
      <c r="AB29" s="459" t="str">
        <f>IF(Y29="","",IFERROR(Y29*INDEX(Assumptions!$E$6:$E$17,MATCH('Input-EWEMs'!AB$10,Assumptions!$B$6:$B$17,0)),""))</f>
        <v/>
      </c>
      <c r="AC29" s="460" t="str">
        <f>IF(Z29="","",IFERROR(Z29*INDEX(Assumptions!$E$6:$E$17,MATCH('Input-EWEMs'!AC$10,Assumptions!$B$6:$B$17,0)),""))</f>
        <v/>
      </c>
      <c r="AD29" s="461">
        <f t="shared" ref="AD29:AD30" si="8">SUM(X29:Z29)</f>
        <v>0</v>
      </c>
      <c r="AE29" s="459">
        <f t="shared" ref="AE29:AE30" si="9">SUM(AA29:AC29)</f>
        <v>0</v>
      </c>
      <c r="AF29" s="459" t="str">
        <f>IF(W29="","",IFERROR(W29*INDEX(Assumptions!$D$20:$D$23,MATCH('Input-EWEMs'!W$11,Assumptions!$C$20:$C$23,0))/1000,""))</f>
        <v/>
      </c>
      <c r="AG29" s="460">
        <f>IFERROR(T29*INDEX(Assumptions!$H$6:$H$17,MATCH('Input-EWEMs'!T$11,Assumptions!$C$6:$C$17,0)),0)+IFERROR(U29*INDEX(Assumptions!$H$6:$H$17,MATCH('Input-EWEMs'!U$11,Assumptions!$C$6:$C$17,0)),0)+IFERROR(V29*INDEX(Assumptions!$H$6:$H$17,MATCH('Input-EWEMs'!V$11,Assumptions!$C$6:$C$17,0)),0)</f>
        <v>0</v>
      </c>
      <c r="AH29" s="464" t="str">
        <f>IFERROR(IF(D29="","",SUM(X29:Z29)/'Input-Utilities'!$N$14),"")</f>
        <v/>
      </c>
      <c r="AI29" s="714" t="str">
        <f>IFERROR(IF(D29="","",AG29/'Input-Utilities'!$L$16),"")</f>
        <v/>
      </c>
      <c r="AJ29" s="465" t="str">
        <f>IFERROR(IF(D29="","",W29/'Input-Utilities'!$J$13),"")</f>
        <v/>
      </c>
      <c r="AK29" s="466" t="str">
        <f>IFERROR(IF($D29="","",IF(INDEX('Reference-MeasureList EULs'!D:D, MATCH('Input-EWEMs'!E29,'Reference-MeasureList EULs'!C:C,0))=0,"",INDEX('Reference-MeasureList EULs'!D:D, MATCH('Input-EWEMs'!E29,'Reference-MeasureList EULs'!C:C,0)))),"")</f>
        <v/>
      </c>
    </row>
    <row r="30" spans="3:37" x14ac:dyDescent="0.2">
      <c r="C30" s="467">
        <v>19</v>
      </c>
      <c r="D30" s="468"/>
      <c r="E30" s="469"/>
      <c r="F30" s="470"/>
      <c r="G30" s="471"/>
      <c r="H30" s="472"/>
      <c r="I30" s="321"/>
      <c r="J30" s="453" t="str">
        <f>IFERROR(IF(I30=0,"",I30/'Input-Property'!$D$42),"")</f>
        <v/>
      </c>
      <c r="K30" s="603"/>
      <c r="L30" s="604"/>
      <c r="M30" s="608" t="str">
        <f t="shared" si="3"/>
        <v/>
      </c>
      <c r="N30" s="473"/>
      <c r="O30" s="473"/>
      <c r="P30" s="455" t="str">
        <f t="shared" si="4"/>
        <v/>
      </c>
      <c r="Q30" s="474"/>
      <c r="R30" s="473"/>
      <c r="S30" s="455" t="str">
        <f t="shared" si="5"/>
        <v/>
      </c>
      <c r="T30" s="475"/>
      <c r="U30" s="350"/>
      <c r="V30" s="350"/>
      <c r="W30" s="476"/>
      <c r="X30" s="458" t="str">
        <f>IF(T30="","",IFERROR(T30*INDEX(Assumptions!$D$6:$D$17,MATCH('Input-EWEMs'!T$11,Assumptions!$C$6:$C$17,0))/1000,""))</f>
        <v/>
      </c>
      <c r="Y30" s="459" t="str">
        <f>IF(U30="","",IFERROR(U30*INDEX(Assumptions!$D$6:$D$17,MATCH('Input-EWEMs'!U$11,Assumptions!$C$6:$C$17,0))/1000,""))</f>
        <v/>
      </c>
      <c r="Z30" s="460" t="str">
        <f>IF(V30="","",IFERROR(V30*INDEX(Assumptions!$D$6:$D$17,MATCH('Input-EWEMs'!V$11,Assumptions!$C$6:$C$17,0))/1000,""))</f>
        <v/>
      </c>
      <c r="AA30" s="458" t="str">
        <f>IF(X30="","",IFERROR(X30*INDEX(Assumptions!$E$6:$E$17,MATCH('Input-EWEMs'!AA$10,Assumptions!$B$6:$B$17,0)),""))</f>
        <v/>
      </c>
      <c r="AB30" s="459" t="str">
        <f>IF(Y30="","",IFERROR(Y30*INDEX(Assumptions!$E$6:$E$17,MATCH('Input-EWEMs'!AB$10,Assumptions!$B$6:$B$17,0)),""))</f>
        <v/>
      </c>
      <c r="AC30" s="460" t="str">
        <f>IF(Z30="","",IFERROR(Z30*INDEX(Assumptions!$E$6:$E$17,MATCH('Input-EWEMs'!AC$10,Assumptions!$B$6:$B$17,0)),""))</f>
        <v/>
      </c>
      <c r="AD30" s="461">
        <f t="shared" si="8"/>
        <v>0</v>
      </c>
      <c r="AE30" s="459">
        <f t="shared" si="9"/>
        <v>0</v>
      </c>
      <c r="AF30" s="459" t="str">
        <f>IF(W30="","",IFERROR(W30*INDEX(Assumptions!$D$20:$D$23,MATCH('Input-EWEMs'!W$11,Assumptions!$C$20:$C$23,0))/1000,""))</f>
        <v/>
      </c>
      <c r="AG30" s="460">
        <f>IFERROR(T30*INDEX(Assumptions!$H$6:$H$17,MATCH('Input-EWEMs'!T$11,Assumptions!$C$6:$C$17,0)),0)+IFERROR(U30*INDEX(Assumptions!$H$6:$H$17,MATCH('Input-EWEMs'!U$11,Assumptions!$C$6:$C$17,0)),0)+IFERROR(V30*INDEX(Assumptions!$H$6:$H$17,MATCH('Input-EWEMs'!V$11,Assumptions!$C$6:$C$17,0)),0)</f>
        <v>0</v>
      </c>
      <c r="AH30" s="464" t="str">
        <f>IFERROR(IF(D30="","",SUM(X30:Z30)/'Input-Utilities'!$N$14),"")</f>
        <v/>
      </c>
      <c r="AI30" s="714" t="str">
        <f>IFERROR(IF(D30="","",AG30/'Input-Utilities'!$L$16),"")</f>
        <v/>
      </c>
      <c r="AJ30" s="465" t="str">
        <f>IFERROR(IF(D30="","",W30/'Input-Utilities'!$J$13),"")</f>
        <v/>
      </c>
      <c r="AK30" s="466" t="str">
        <f>IFERROR(IF($D30="","",IF(INDEX('Reference-MeasureList EULs'!D:D, MATCH('Input-EWEMs'!E30,'Reference-MeasureList EULs'!C:C,0))=0,"",INDEX('Reference-MeasureList EULs'!D:D, MATCH('Input-EWEMs'!E30,'Reference-MeasureList EULs'!C:C,0)))),"")</f>
        <v/>
      </c>
    </row>
    <row r="31" spans="3:37" x14ac:dyDescent="0.2">
      <c r="C31" s="467">
        <v>20</v>
      </c>
      <c r="D31" s="468"/>
      <c r="E31" s="469"/>
      <c r="F31" s="470"/>
      <c r="G31" s="471"/>
      <c r="H31" s="472"/>
      <c r="I31" s="321"/>
      <c r="J31" s="453" t="str">
        <f>IFERROR(IF(I31=0,"",I31/'Input-Property'!$D$42),"")</f>
        <v/>
      </c>
      <c r="K31" s="603"/>
      <c r="L31" s="604"/>
      <c r="M31" s="608" t="str">
        <f t="shared" si="3"/>
        <v/>
      </c>
      <c r="N31" s="473"/>
      <c r="O31" s="473"/>
      <c r="P31" s="455" t="str">
        <f t="shared" si="4"/>
        <v/>
      </c>
      <c r="Q31" s="474"/>
      <c r="R31" s="473"/>
      <c r="S31" s="455" t="str">
        <f t="shared" si="5"/>
        <v/>
      </c>
      <c r="T31" s="475"/>
      <c r="U31" s="350"/>
      <c r="V31" s="350"/>
      <c r="W31" s="476"/>
      <c r="X31" s="458" t="str">
        <f>IF(T31="","",IFERROR(T31*INDEX(Assumptions!$D$6:$D$17,MATCH('Input-EWEMs'!T$11,Assumptions!$C$6:$C$17,0))/1000,""))</f>
        <v/>
      </c>
      <c r="Y31" s="459" t="str">
        <f>IF(U31="","",IFERROR(U31*INDEX(Assumptions!$D$6:$D$17,MATCH('Input-EWEMs'!U$11,Assumptions!$C$6:$C$17,0))/1000,""))</f>
        <v/>
      </c>
      <c r="Z31" s="460" t="str">
        <f>IF(V31="","",IFERROR(V31*INDEX(Assumptions!$D$6:$D$17,MATCH('Input-EWEMs'!V$11,Assumptions!$C$6:$C$17,0))/1000,""))</f>
        <v/>
      </c>
      <c r="AA31" s="458" t="str">
        <f>IF(X31="","",IFERROR(X31*INDEX(Assumptions!$E$6:$E$17,MATCH('Input-EWEMs'!AA$10,Assumptions!$B$6:$B$17,0)),""))</f>
        <v/>
      </c>
      <c r="AB31" s="459" t="str">
        <f>IF(Y31="","",IFERROR(Y31*INDEX(Assumptions!$E$6:$E$17,MATCH('Input-EWEMs'!AB$10,Assumptions!$B$6:$B$17,0)),""))</f>
        <v/>
      </c>
      <c r="AC31" s="460" t="str">
        <f>IF(Z31="","",IFERROR(Z31*INDEX(Assumptions!$E$6:$E$17,MATCH('Input-EWEMs'!AC$10,Assumptions!$B$6:$B$17,0)),""))</f>
        <v/>
      </c>
      <c r="AD31" s="461">
        <f t="shared" ref="AD31:AD41" si="10">SUM(X31:Z31)</f>
        <v>0</v>
      </c>
      <c r="AE31" s="459">
        <f t="shared" ref="AE31:AE41" si="11">SUM(AA31:AC31)</f>
        <v>0</v>
      </c>
      <c r="AF31" s="459" t="str">
        <f>IF(W31="","",IFERROR(W31*INDEX(Assumptions!$D$20:$D$23,MATCH('Input-EWEMs'!W$11,Assumptions!$C$20:$C$23,0))/1000,""))</f>
        <v/>
      </c>
      <c r="AG31" s="460">
        <f>IFERROR(T31*INDEX(Assumptions!$H$6:$H$17,MATCH('Input-EWEMs'!T$11,Assumptions!$C$6:$C$17,0)),0)+IFERROR(U31*INDEX(Assumptions!$H$6:$H$17,MATCH('Input-EWEMs'!U$11,Assumptions!$C$6:$C$17,0)),0)+IFERROR(V31*INDEX(Assumptions!$H$6:$H$17,MATCH('Input-EWEMs'!V$11,Assumptions!$C$6:$C$17,0)),0)</f>
        <v>0</v>
      </c>
      <c r="AH31" s="464" t="str">
        <f>IFERROR(IF(D31="","",SUM(X31:Z31)/'Input-Utilities'!$N$14),"")</f>
        <v/>
      </c>
      <c r="AI31" s="714" t="str">
        <f>IFERROR(IF(D31="","",AG31/'Input-Utilities'!$L$16),"")</f>
        <v/>
      </c>
      <c r="AJ31" s="465" t="str">
        <f>IFERROR(IF(D31="","",W31/'Input-Utilities'!$J$13),"")</f>
        <v/>
      </c>
      <c r="AK31" s="466" t="str">
        <f>IFERROR(IF($D31="","",IF(INDEX('Reference-MeasureList EULs'!D:D, MATCH('Input-EWEMs'!E31,'Reference-MeasureList EULs'!C:C,0))=0,"",INDEX('Reference-MeasureList EULs'!D:D, MATCH('Input-EWEMs'!E31,'Reference-MeasureList EULs'!C:C,0)))),"")</f>
        <v/>
      </c>
    </row>
    <row r="32" spans="3:37" x14ac:dyDescent="0.2">
      <c r="C32" s="467">
        <v>21</v>
      </c>
      <c r="D32" s="468"/>
      <c r="E32" s="469"/>
      <c r="F32" s="470"/>
      <c r="G32" s="471"/>
      <c r="H32" s="472"/>
      <c r="I32" s="321"/>
      <c r="J32" s="453" t="str">
        <f>IFERROR(IF(I32=0,"",I32/'Input-Property'!$D$42),"")</f>
        <v/>
      </c>
      <c r="K32" s="603"/>
      <c r="L32" s="604"/>
      <c r="M32" s="608" t="str">
        <f t="shared" si="3"/>
        <v/>
      </c>
      <c r="N32" s="473"/>
      <c r="O32" s="473"/>
      <c r="P32" s="455" t="str">
        <f t="shared" si="4"/>
        <v/>
      </c>
      <c r="Q32" s="474"/>
      <c r="R32" s="473"/>
      <c r="S32" s="455" t="str">
        <f t="shared" si="5"/>
        <v/>
      </c>
      <c r="T32" s="475"/>
      <c r="U32" s="350"/>
      <c r="V32" s="350"/>
      <c r="W32" s="476"/>
      <c r="X32" s="458" t="str">
        <f>IF(T32="","",IFERROR(T32*INDEX(Assumptions!$D$6:$D$17,MATCH('Input-EWEMs'!T$11,Assumptions!$C$6:$C$17,0))/1000,""))</f>
        <v/>
      </c>
      <c r="Y32" s="459" t="str">
        <f>IF(U32="","",IFERROR(U32*INDEX(Assumptions!$D$6:$D$17,MATCH('Input-EWEMs'!U$11,Assumptions!$C$6:$C$17,0))/1000,""))</f>
        <v/>
      </c>
      <c r="Z32" s="460" t="str">
        <f>IF(V32="","",IFERROR(V32*INDEX(Assumptions!$D$6:$D$17,MATCH('Input-EWEMs'!V$11,Assumptions!$C$6:$C$17,0))/1000,""))</f>
        <v/>
      </c>
      <c r="AA32" s="458" t="str">
        <f>IF(X32="","",IFERROR(X32*INDEX(Assumptions!$E$6:$E$17,MATCH('Input-EWEMs'!AA$10,Assumptions!$B$6:$B$17,0)),""))</f>
        <v/>
      </c>
      <c r="AB32" s="459" t="str">
        <f>IF(Y32="","",IFERROR(Y32*INDEX(Assumptions!$E$6:$E$17,MATCH('Input-EWEMs'!AB$10,Assumptions!$B$6:$B$17,0)),""))</f>
        <v/>
      </c>
      <c r="AC32" s="460" t="str">
        <f>IF(Z32="","",IFERROR(Z32*INDEX(Assumptions!$E$6:$E$17,MATCH('Input-EWEMs'!AC$10,Assumptions!$B$6:$B$17,0)),""))</f>
        <v/>
      </c>
      <c r="AD32" s="461">
        <f t="shared" si="10"/>
        <v>0</v>
      </c>
      <c r="AE32" s="459">
        <f t="shared" si="11"/>
        <v>0</v>
      </c>
      <c r="AF32" s="459" t="str">
        <f>IF(W32="","",IFERROR(W32*INDEX(Assumptions!$D$20:$D$23,MATCH('Input-EWEMs'!W$11,Assumptions!$C$20:$C$23,0))/1000,""))</f>
        <v/>
      </c>
      <c r="AG32" s="460">
        <f>IFERROR(T32*INDEX(Assumptions!$H$6:$H$17,MATCH('Input-EWEMs'!T$11,Assumptions!$C$6:$C$17,0)),0)+IFERROR(U32*INDEX(Assumptions!$H$6:$H$17,MATCH('Input-EWEMs'!U$11,Assumptions!$C$6:$C$17,0)),0)+IFERROR(V32*INDEX(Assumptions!$H$6:$H$17,MATCH('Input-EWEMs'!V$11,Assumptions!$C$6:$C$17,0)),0)</f>
        <v>0</v>
      </c>
      <c r="AH32" s="464" t="str">
        <f>IFERROR(IF(D32="","",SUM(X32:Z32)/'Input-Utilities'!$N$14),"")</f>
        <v/>
      </c>
      <c r="AI32" s="714" t="str">
        <f>IFERROR(IF(D32="","",AG32/'Input-Utilities'!$L$16),"")</f>
        <v/>
      </c>
      <c r="AJ32" s="465" t="str">
        <f>IFERROR(IF(D32="","",W32/'Input-Utilities'!$J$13),"")</f>
        <v/>
      </c>
      <c r="AK32" s="466" t="str">
        <f>IFERROR(IF($D32="","",IF(INDEX('Reference-MeasureList EULs'!D:D, MATCH('Input-EWEMs'!E32,'Reference-MeasureList EULs'!C:C,0))=0,"",INDEX('Reference-MeasureList EULs'!D:D, MATCH('Input-EWEMs'!E32,'Reference-MeasureList EULs'!C:C,0)))),"")</f>
        <v/>
      </c>
    </row>
    <row r="33" spans="3:37" x14ac:dyDescent="0.2">
      <c r="C33" s="467">
        <v>22</v>
      </c>
      <c r="D33" s="468"/>
      <c r="E33" s="469"/>
      <c r="F33" s="470"/>
      <c r="G33" s="471"/>
      <c r="H33" s="472"/>
      <c r="I33" s="321"/>
      <c r="J33" s="453" t="str">
        <f>IFERROR(IF(I33=0,"",I33/'Input-Property'!$D$42),"")</f>
        <v/>
      </c>
      <c r="K33" s="603"/>
      <c r="L33" s="604"/>
      <c r="M33" s="608" t="str">
        <f t="shared" si="3"/>
        <v/>
      </c>
      <c r="N33" s="473"/>
      <c r="O33" s="473"/>
      <c r="P33" s="455" t="str">
        <f t="shared" si="4"/>
        <v/>
      </c>
      <c r="Q33" s="474"/>
      <c r="R33" s="473"/>
      <c r="S33" s="455" t="str">
        <f t="shared" si="5"/>
        <v/>
      </c>
      <c r="T33" s="475"/>
      <c r="U33" s="350"/>
      <c r="V33" s="350"/>
      <c r="W33" s="476"/>
      <c r="X33" s="458" t="str">
        <f>IF(T33="","",IFERROR(T33*INDEX(Assumptions!$D$6:$D$17,MATCH('Input-EWEMs'!T$11,Assumptions!$C$6:$C$17,0))/1000,""))</f>
        <v/>
      </c>
      <c r="Y33" s="459" t="str">
        <f>IF(U33="","",IFERROR(U33*INDEX(Assumptions!$D$6:$D$17,MATCH('Input-EWEMs'!U$11,Assumptions!$C$6:$C$17,0))/1000,""))</f>
        <v/>
      </c>
      <c r="Z33" s="460" t="str">
        <f>IF(V33="","",IFERROR(V33*INDEX(Assumptions!$D$6:$D$17,MATCH('Input-EWEMs'!V$11,Assumptions!$C$6:$C$17,0))/1000,""))</f>
        <v/>
      </c>
      <c r="AA33" s="458" t="str">
        <f>IF(X33="","",IFERROR(X33*INDEX(Assumptions!$E$6:$E$17,MATCH('Input-EWEMs'!AA$10,Assumptions!$B$6:$B$17,0)),""))</f>
        <v/>
      </c>
      <c r="AB33" s="459" t="str">
        <f>IF(Y33="","",IFERROR(Y33*INDEX(Assumptions!$E$6:$E$17,MATCH('Input-EWEMs'!AB$10,Assumptions!$B$6:$B$17,0)),""))</f>
        <v/>
      </c>
      <c r="AC33" s="460" t="str">
        <f>IF(Z33="","",IFERROR(Z33*INDEX(Assumptions!$E$6:$E$17,MATCH('Input-EWEMs'!AC$10,Assumptions!$B$6:$B$17,0)),""))</f>
        <v/>
      </c>
      <c r="AD33" s="461">
        <f t="shared" si="10"/>
        <v>0</v>
      </c>
      <c r="AE33" s="459">
        <f t="shared" si="11"/>
        <v>0</v>
      </c>
      <c r="AF33" s="459" t="str">
        <f>IF(W33="","",IFERROR(W33*INDEX(Assumptions!$D$20:$D$23,MATCH('Input-EWEMs'!W$11,Assumptions!$C$20:$C$23,0))/1000,""))</f>
        <v/>
      </c>
      <c r="AG33" s="460">
        <f>IFERROR(T33*INDEX(Assumptions!$H$6:$H$17,MATCH('Input-EWEMs'!T$11,Assumptions!$C$6:$C$17,0)),0)+IFERROR(U33*INDEX(Assumptions!$H$6:$H$17,MATCH('Input-EWEMs'!U$11,Assumptions!$C$6:$C$17,0)),0)+IFERROR(V33*INDEX(Assumptions!$H$6:$H$17,MATCH('Input-EWEMs'!V$11,Assumptions!$C$6:$C$17,0)),0)</f>
        <v>0</v>
      </c>
      <c r="AH33" s="464" t="str">
        <f>IFERROR(IF(D33="","",SUM(X33:Z33)/'Input-Utilities'!$N$14),"")</f>
        <v/>
      </c>
      <c r="AI33" s="714" t="str">
        <f>IFERROR(IF(D33="","",AG33/'Input-Utilities'!$L$16),"")</f>
        <v/>
      </c>
      <c r="AJ33" s="465" t="str">
        <f>IFERROR(IF(D33="","",W33/'Input-Utilities'!$J$13),"")</f>
        <v/>
      </c>
      <c r="AK33" s="466" t="str">
        <f>IFERROR(IF($D33="","",IF(INDEX('Reference-MeasureList EULs'!D:D, MATCH('Input-EWEMs'!E33,'Reference-MeasureList EULs'!C:C,0))=0,"",INDEX('Reference-MeasureList EULs'!D:D, MATCH('Input-EWEMs'!E33,'Reference-MeasureList EULs'!C:C,0)))),"")</f>
        <v/>
      </c>
    </row>
    <row r="34" spans="3:37" x14ac:dyDescent="0.2">
      <c r="C34" s="467">
        <v>23</v>
      </c>
      <c r="D34" s="468"/>
      <c r="E34" s="469"/>
      <c r="F34" s="470"/>
      <c r="G34" s="471"/>
      <c r="H34" s="472"/>
      <c r="I34" s="321"/>
      <c r="J34" s="453" t="str">
        <f>IFERROR(IF(I34=0,"",I34/'Input-Property'!$D$42),"")</f>
        <v/>
      </c>
      <c r="K34" s="603"/>
      <c r="L34" s="604"/>
      <c r="M34" s="608" t="str">
        <f t="shared" si="3"/>
        <v/>
      </c>
      <c r="N34" s="473"/>
      <c r="O34" s="473"/>
      <c r="P34" s="455" t="str">
        <f t="shared" si="4"/>
        <v/>
      </c>
      <c r="Q34" s="474"/>
      <c r="R34" s="473"/>
      <c r="S34" s="455" t="str">
        <f t="shared" si="5"/>
        <v/>
      </c>
      <c r="T34" s="475"/>
      <c r="U34" s="350"/>
      <c r="V34" s="350"/>
      <c r="W34" s="476"/>
      <c r="X34" s="458" t="str">
        <f>IF(T34="","",IFERROR(T34*INDEX(Assumptions!$D$6:$D$17,MATCH('Input-EWEMs'!T$11,Assumptions!$C$6:$C$17,0))/1000,""))</f>
        <v/>
      </c>
      <c r="Y34" s="459" t="str">
        <f>IF(U34="","",IFERROR(U34*INDEX(Assumptions!$D$6:$D$17,MATCH('Input-EWEMs'!U$11,Assumptions!$C$6:$C$17,0))/1000,""))</f>
        <v/>
      </c>
      <c r="Z34" s="460" t="str">
        <f>IF(V34="","",IFERROR(V34*INDEX(Assumptions!$D$6:$D$17,MATCH('Input-EWEMs'!V$11,Assumptions!$C$6:$C$17,0))/1000,""))</f>
        <v/>
      </c>
      <c r="AA34" s="458" t="str">
        <f>IF(X34="","",IFERROR(X34*INDEX(Assumptions!$E$6:$E$17,MATCH('Input-EWEMs'!AA$10,Assumptions!$B$6:$B$17,0)),""))</f>
        <v/>
      </c>
      <c r="AB34" s="459" t="str">
        <f>IF(Y34="","",IFERROR(Y34*INDEX(Assumptions!$E$6:$E$17,MATCH('Input-EWEMs'!AB$10,Assumptions!$B$6:$B$17,0)),""))</f>
        <v/>
      </c>
      <c r="AC34" s="460" t="str">
        <f>IF(Z34="","",IFERROR(Z34*INDEX(Assumptions!$E$6:$E$17,MATCH('Input-EWEMs'!AC$10,Assumptions!$B$6:$B$17,0)),""))</f>
        <v/>
      </c>
      <c r="AD34" s="461">
        <f t="shared" si="10"/>
        <v>0</v>
      </c>
      <c r="AE34" s="459">
        <f t="shared" si="11"/>
        <v>0</v>
      </c>
      <c r="AF34" s="459" t="str">
        <f>IF(W34="","",IFERROR(W34*INDEX(Assumptions!$D$20:$D$23,MATCH('Input-EWEMs'!W$11,Assumptions!$C$20:$C$23,0))/1000,""))</f>
        <v/>
      </c>
      <c r="AG34" s="460">
        <f>IFERROR(T34*INDEX(Assumptions!$H$6:$H$17,MATCH('Input-EWEMs'!T$11,Assumptions!$C$6:$C$17,0)),0)+IFERROR(U34*INDEX(Assumptions!$H$6:$H$17,MATCH('Input-EWEMs'!U$11,Assumptions!$C$6:$C$17,0)),0)+IFERROR(V34*INDEX(Assumptions!$H$6:$H$17,MATCH('Input-EWEMs'!V$11,Assumptions!$C$6:$C$17,0)),0)</f>
        <v>0</v>
      </c>
      <c r="AH34" s="464" t="str">
        <f>IFERROR(IF(D34="","",SUM(X34:Z34)/'Input-Utilities'!$N$14),"")</f>
        <v/>
      </c>
      <c r="AI34" s="714" t="str">
        <f>IFERROR(IF(D34="","",AG34/'Input-Utilities'!$L$16),"")</f>
        <v/>
      </c>
      <c r="AJ34" s="465" t="str">
        <f>IFERROR(IF(D34="","",W34/'Input-Utilities'!$J$13),"")</f>
        <v/>
      </c>
      <c r="AK34" s="466" t="str">
        <f>IFERROR(IF($D34="","",IF(INDEX('Reference-MeasureList EULs'!D:D, MATCH('Input-EWEMs'!E34,'Reference-MeasureList EULs'!C:C,0))=0,"",INDEX('Reference-MeasureList EULs'!D:D, MATCH('Input-EWEMs'!E34,'Reference-MeasureList EULs'!C:C,0)))),"")</f>
        <v/>
      </c>
    </row>
    <row r="35" spans="3:37" x14ac:dyDescent="0.2">
      <c r="C35" s="467">
        <v>24</v>
      </c>
      <c r="D35" s="468"/>
      <c r="E35" s="469"/>
      <c r="F35" s="470"/>
      <c r="G35" s="471"/>
      <c r="H35" s="472"/>
      <c r="I35" s="321"/>
      <c r="J35" s="453" t="str">
        <f>IFERROR(IF(I35=0,"",I35/'Input-Property'!$D$42),"")</f>
        <v/>
      </c>
      <c r="K35" s="603"/>
      <c r="L35" s="604"/>
      <c r="M35" s="608" t="str">
        <f t="shared" si="3"/>
        <v/>
      </c>
      <c r="N35" s="473"/>
      <c r="O35" s="473"/>
      <c r="P35" s="455" t="str">
        <f t="shared" si="4"/>
        <v/>
      </c>
      <c r="Q35" s="474"/>
      <c r="R35" s="473"/>
      <c r="S35" s="455" t="str">
        <f t="shared" si="5"/>
        <v/>
      </c>
      <c r="T35" s="475"/>
      <c r="U35" s="350"/>
      <c r="V35" s="350"/>
      <c r="W35" s="476"/>
      <c r="X35" s="458" t="str">
        <f>IF(T35="","",IFERROR(T35*INDEX(Assumptions!$D$6:$D$17,MATCH('Input-EWEMs'!T$11,Assumptions!$C$6:$C$17,0))/1000,""))</f>
        <v/>
      </c>
      <c r="Y35" s="459" t="str">
        <f>IF(U35="","",IFERROR(U35*INDEX(Assumptions!$D$6:$D$17,MATCH('Input-EWEMs'!U$11,Assumptions!$C$6:$C$17,0))/1000,""))</f>
        <v/>
      </c>
      <c r="Z35" s="460" t="str">
        <f>IF(V35="","",IFERROR(V35*INDEX(Assumptions!$D$6:$D$17,MATCH('Input-EWEMs'!V$11,Assumptions!$C$6:$C$17,0))/1000,""))</f>
        <v/>
      </c>
      <c r="AA35" s="458" t="str">
        <f>IF(X35="","",IFERROR(X35*INDEX(Assumptions!$E$6:$E$17,MATCH('Input-EWEMs'!AA$10,Assumptions!$B$6:$B$17,0)),""))</f>
        <v/>
      </c>
      <c r="AB35" s="459" t="str">
        <f>IF(Y35="","",IFERROR(Y35*INDEX(Assumptions!$E$6:$E$17,MATCH('Input-EWEMs'!AB$10,Assumptions!$B$6:$B$17,0)),""))</f>
        <v/>
      </c>
      <c r="AC35" s="460" t="str">
        <f>IF(Z35="","",IFERROR(Z35*INDEX(Assumptions!$E$6:$E$17,MATCH('Input-EWEMs'!AC$10,Assumptions!$B$6:$B$17,0)),""))</f>
        <v/>
      </c>
      <c r="AD35" s="461">
        <f t="shared" si="10"/>
        <v>0</v>
      </c>
      <c r="AE35" s="459">
        <f t="shared" si="11"/>
        <v>0</v>
      </c>
      <c r="AF35" s="459" t="str">
        <f>IF(W35="","",IFERROR(W35*INDEX(Assumptions!$D$20:$D$23,MATCH('Input-EWEMs'!W$11,Assumptions!$C$20:$C$23,0))/1000,""))</f>
        <v/>
      </c>
      <c r="AG35" s="460">
        <f>IFERROR(T35*INDEX(Assumptions!$H$6:$H$17,MATCH('Input-EWEMs'!T$11,Assumptions!$C$6:$C$17,0)),0)+IFERROR(U35*INDEX(Assumptions!$H$6:$H$17,MATCH('Input-EWEMs'!U$11,Assumptions!$C$6:$C$17,0)),0)+IFERROR(V35*INDEX(Assumptions!$H$6:$H$17,MATCH('Input-EWEMs'!V$11,Assumptions!$C$6:$C$17,0)),0)</f>
        <v>0</v>
      </c>
      <c r="AH35" s="464" t="str">
        <f>IFERROR(IF(D35="","",SUM(X35:Z35)/'Input-Utilities'!$N$14),"")</f>
        <v/>
      </c>
      <c r="AI35" s="714" t="str">
        <f>IFERROR(IF(D35="","",AG35/'Input-Utilities'!$L$16),"")</f>
        <v/>
      </c>
      <c r="AJ35" s="465" t="str">
        <f>IFERROR(IF(D35="","",W35/'Input-Utilities'!$J$13),"")</f>
        <v/>
      </c>
      <c r="AK35" s="466" t="str">
        <f>IFERROR(IF($D35="","",IF(INDEX('Reference-MeasureList EULs'!D:D, MATCH('Input-EWEMs'!E35,'Reference-MeasureList EULs'!C:C,0))=0,"",INDEX('Reference-MeasureList EULs'!D:D, MATCH('Input-EWEMs'!E35,'Reference-MeasureList EULs'!C:C,0)))),"")</f>
        <v/>
      </c>
    </row>
    <row r="36" spans="3:37" x14ac:dyDescent="0.2">
      <c r="C36" s="467">
        <v>25</v>
      </c>
      <c r="D36" s="468"/>
      <c r="E36" s="469"/>
      <c r="F36" s="470"/>
      <c r="G36" s="471"/>
      <c r="H36" s="472"/>
      <c r="I36" s="321"/>
      <c r="J36" s="453" t="str">
        <f>IFERROR(IF(I36=0,"",I36/'Input-Property'!$D$42),"")</f>
        <v/>
      </c>
      <c r="K36" s="603"/>
      <c r="L36" s="604"/>
      <c r="M36" s="608" t="str">
        <f t="shared" si="3"/>
        <v/>
      </c>
      <c r="N36" s="473"/>
      <c r="O36" s="473"/>
      <c r="P36" s="455" t="str">
        <f t="shared" si="4"/>
        <v/>
      </c>
      <c r="Q36" s="474"/>
      <c r="R36" s="473"/>
      <c r="S36" s="455" t="str">
        <f t="shared" si="5"/>
        <v/>
      </c>
      <c r="T36" s="475"/>
      <c r="U36" s="350"/>
      <c r="V36" s="350"/>
      <c r="W36" s="476"/>
      <c r="X36" s="458" t="str">
        <f>IF(T36="","",IFERROR(T36*INDEX(Assumptions!$D$6:$D$17,MATCH('Input-EWEMs'!T$11,Assumptions!$C$6:$C$17,0))/1000,""))</f>
        <v/>
      </c>
      <c r="Y36" s="459" t="str">
        <f>IF(U36="","",IFERROR(U36*INDEX(Assumptions!$D$6:$D$17,MATCH('Input-EWEMs'!U$11,Assumptions!$C$6:$C$17,0))/1000,""))</f>
        <v/>
      </c>
      <c r="Z36" s="460" t="str">
        <f>IF(V36="","",IFERROR(V36*INDEX(Assumptions!$D$6:$D$17,MATCH('Input-EWEMs'!V$11,Assumptions!$C$6:$C$17,0))/1000,""))</f>
        <v/>
      </c>
      <c r="AA36" s="458" t="str">
        <f>IF(X36="","",IFERROR(X36*INDEX(Assumptions!$E$6:$E$17,MATCH('Input-EWEMs'!AA$10,Assumptions!$B$6:$B$17,0)),""))</f>
        <v/>
      </c>
      <c r="AB36" s="459" t="str">
        <f>IF(Y36="","",IFERROR(Y36*INDEX(Assumptions!$E$6:$E$17,MATCH('Input-EWEMs'!AB$10,Assumptions!$B$6:$B$17,0)),""))</f>
        <v/>
      </c>
      <c r="AC36" s="460" t="str">
        <f>IF(Z36="","",IFERROR(Z36*INDEX(Assumptions!$E$6:$E$17,MATCH('Input-EWEMs'!AC$10,Assumptions!$B$6:$B$17,0)),""))</f>
        <v/>
      </c>
      <c r="AD36" s="461">
        <f t="shared" si="10"/>
        <v>0</v>
      </c>
      <c r="AE36" s="459">
        <f t="shared" si="11"/>
        <v>0</v>
      </c>
      <c r="AF36" s="459" t="str">
        <f>IF(W36="","",IFERROR(W36*INDEX(Assumptions!$D$20:$D$23,MATCH('Input-EWEMs'!W$11,Assumptions!$C$20:$C$23,0))/1000,""))</f>
        <v/>
      </c>
      <c r="AG36" s="460">
        <f>IFERROR(T36*INDEX(Assumptions!$H$6:$H$17,MATCH('Input-EWEMs'!T$11,Assumptions!$C$6:$C$17,0)),0)+IFERROR(U36*INDEX(Assumptions!$H$6:$H$17,MATCH('Input-EWEMs'!U$11,Assumptions!$C$6:$C$17,0)),0)+IFERROR(V36*INDEX(Assumptions!$H$6:$H$17,MATCH('Input-EWEMs'!V$11,Assumptions!$C$6:$C$17,0)),0)</f>
        <v>0</v>
      </c>
      <c r="AH36" s="464" t="str">
        <f>IFERROR(IF(D36="","",SUM(X36:Z36)/'Input-Utilities'!$N$14),"")</f>
        <v/>
      </c>
      <c r="AI36" s="714" t="str">
        <f>IFERROR(IF(D36="","",AG36/'Input-Utilities'!$L$16),"")</f>
        <v/>
      </c>
      <c r="AJ36" s="465" t="str">
        <f>IFERROR(IF(D36="","",W36/'Input-Utilities'!$J$13),"")</f>
        <v/>
      </c>
      <c r="AK36" s="466" t="str">
        <f>IFERROR(IF($D36="","",IF(INDEX('Reference-MeasureList EULs'!D:D, MATCH('Input-EWEMs'!E36,'Reference-MeasureList EULs'!C:C,0))=0,"",INDEX('Reference-MeasureList EULs'!D:D, MATCH('Input-EWEMs'!E36,'Reference-MeasureList EULs'!C:C,0)))),"")</f>
        <v/>
      </c>
    </row>
    <row r="37" spans="3:37" x14ac:dyDescent="0.2">
      <c r="C37" s="467">
        <v>26</v>
      </c>
      <c r="D37" s="468"/>
      <c r="E37" s="469"/>
      <c r="F37" s="470"/>
      <c r="G37" s="471"/>
      <c r="H37" s="472"/>
      <c r="I37" s="321"/>
      <c r="J37" s="453" t="str">
        <f>IFERROR(IF(I37=0,"",I37/'Input-Property'!$D$42),"")</f>
        <v/>
      </c>
      <c r="K37" s="603"/>
      <c r="L37" s="604"/>
      <c r="M37" s="608" t="str">
        <f t="shared" si="3"/>
        <v/>
      </c>
      <c r="N37" s="473"/>
      <c r="O37" s="473"/>
      <c r="P37" s="455" t="str">
        <f t="shared" si="4"/>
        <v/>
      </c>
      <c r="Q37" s="474"/>
      <c r="R37" s="473"/>
      <c r="S37" s="455" t="str">
        <f t="shared" si="5"/>
        <v/>
      </c>
      <c r="T37" s="475"/>
      <c r="U37" s="350"/>
      <c r="V37" s="350"/>
      <c r="W37" s="476"/>
      <c r="X37" s="458" t="str">
        <f>IF(T37="","",IFERROR(T37*INDEX(Assumptions!$D$6:$D$17,MATCH('Input-EWEMs'!T$11,Assumptions!$C$6:$C$17,0))/1000,""))</f>
        <v/>
      </c>
      <c r="Y37" s="459" t="str">
        <f>IF(U37="","",IFERROR(U37*INDEX(Assumptions!$D$6:$D$17,MATCH('Input-EWEMs'!U$11,Assumptions!$C$6:$C$17,0))/1000,""))</f>
        <v/>
      </c>
      <c r="Z37" s="460" t="str">
        <f>IF(V37="","",IFERROR(V37*INDEX(Assumptions!$D$6:$D$17,MATCH('Input-EWEMs'!V$11,Assumptions!$C$6:$C$17,0))/1000,""))</f>
        <v/>
      </c>
      <c r="AA37" s="458" t="str">
        <f>IF(X37="","",IFERROR(X37*INDEX(Assumptions!$E$6:$E$17,MATCH('Input-EWEMs'!AA$10,Assumptions!$B$6:$B$17,0)),""))</f>
        <v/>
      </c>
      <c r="AB37" s="459" t="str">
        <f>IF(Y37="","",IFERROR(Y37*INDEX(Assumptions!$E$6:$E$17,MATCH('Input-EWEMs'!AB$10,Assumptions!$B$6:$B$17,0)),""))</f>
        <v/>
      </c>
      <c r="AC37" s="460" t="str">
        <f>IF(Z37="","",IFERROR(Z37*INDEX(Assumptions!$E$6:$E$17,MATCH('Input-EWEMs'!AC$10,Assumptions!$B$6:$B$17,0)),""))</f>
        <v/>
      </c>
      <c r="AD37" s="461">
        <f t="shared" si="10"/>
        <v>0</v>
      </c>
      <c r="AE37" s="459">
        <f t="shared" si="11"/>
        <v>0</v>
      </c>
      <c r="AF37" s="459" t="str">
        <f>IF(W37="","",IFERROR(W37*INDEX(Assumptions!$D$20:$D$23,MATCH('Input-EWEMs'!W$11,Assumptions!$C$20:$C$23,0))/1000,""))</f>
        <v/>
      </c>
      <c r="AG37" s="460">
        <f>IFERROR(T37*INDEX(Assumptions!$H$6:$H$17,MATCH('Input-EWEMs'!T$11,Assumptions!$C$6:$C$17,0)),0)+IFERROR(U37*INDEX(Assumptions!$H$6:$H$17,MATCH('Input-EWEMs'!U$11,Assumptions!$C$6:$C$17,0)),0)+IFERROR(V37*INDEX(Assumptions!$H$6:$H$17,MATCH('Input-EWEMs'!V$11,Assumptions!$C$6:$C$17,0)),0)</f>
        <v>0</v>
      </c>
      <c r="AH37" s="464" t="str">
        <f>IFERROR(IF(D37="","",SUM(X37:Z37)/'Input-Utilities'!$N$14),"")</f>
        <v/>
      </c>
      <c r="AI37" s="714" t="str">
        <f>IFERROR(IF(D37="","",AG37/'Input-Utilities'!$L$16),"")</f>
        <v/>
      </c>
      <c r="AJ37" s="465" t="str">
        <f>IFERROR(IF(D37="","",W37/'Input-Utilities'!$J$13),"")</f>
        <v/>
      </c>
      <c r="AK37" s="466" t="str">
        <f>IFERROR(IF($D37="","",IF(INDEX('Reference-MeasureList EULs'!D:D, MATCH('Input-EWEMs'!E37,'Reference-MeasureList EULs'!C:C,0))=0,"",INDEX('Reference-MeasureList EULs'!D:D, MATCH('Input-EWEMs'!E37,'Reference-MeasureList EULs'!C:C,0)))),"")</f>
        <v/>
      </c>
    </row>
    <row r="38" spans="3:37" x14ac:dyDescent="0.2">
      <c r="C38" s="467">
        <v>27</v>
      </c>
      <c r="D38" s="468"/>
      <c r="E38" s="469"/>
      <c r="F38" s="470"/>
      <c r="G38" s="471"/>
      <c r="H38" s="472"/>
      <c r="I38" s="321"/>
      <c r="J38" s="453" t="str">
        <f>IFERROR(IF(I38=0,"",I38/'Input-Property'!$D$42),"")</f>
        <v/>
      </c>
      <c r="K38" s="603"/>
      <c r="L38" s="604"/>
      <c r="M38" s="608" t="str">
        <f t="shared" si="3"/>
        <v/>
      </c>
      <c r="N38" s="473"/>
      <c r="O38" s="473"/>
      <c r="P38" s="455" t="str">
        <f t="shared" si="4"/>
        <v/>
      </c>
      <c r="Q38" s="474"/>
      <c r="R38" s="473"/>
      <c r="S38" s="455" t="str">
        <f t="shared" si="5"/>
        <v/>
      </c>
      <c r="T38" s="475"/>
      <c r="U38" s="350"/>
      <c r="V38" s="350"/>
      <c r="W38" s="476"/>
      <c r="X38" s="458" t="str">
        <f>IF(T38="","",IFERROR(T38*INDEX(Assumptions!$D$6:$D$17,MATCH('Input-EWEMs'!T$11,Assumptions!$C$6:$C$17,0))/1000,""))</f>
        <v/>
      </c>
      <c r="Y38" s="459" t="str">
        <f>IF(U38="","",IFERROR(U38*INDEX(Assumptions!$D$6:$D$17,MATCH('Input-EWEMs'!U$11,Assumptions!$C$6:$C$17,0))/1000,""))</f>
        <v/>
      </c>
      <c r="Z38" s="460" t="str">
        <f>IF(V38="","",IFERROR(V38*INDEX(Assumptions!$D$6:$D$17,MATCH('Input-EWEMs'!V$11,Assumptions!$C$6:$C$17,0))/1000,""))</f>
        <v/>
      </c>
      <c r="AA38" s="458" t="str">
        <f>IF(X38="","",IFERROR(X38*INDEX(Assumptions!$E$6:$E$17,MATCH('Input-EWEMs'!AA$10,Assumptions!$B$6:$B$17,0)),""))</f>
        <v/>
      </c>
      <c r="AB38" s="459" t="str">
        <f>IF(Y38="","",IFERROR(Y38*INDEX(Assumptions!$E$6:$E$17,MATCH('Input-EWEMs'!AB$10,Assumptions!$B$6:$B$17,0)),""))</f>
        <v/>
      </c>
      <c r="AC38" s="460" t="str">
        <f>IF(Z38="","",IFERROR(Z38*INDEX(Assumptions!$E$6:$E$17,MATCH('Input-EWEMs'!AC$10,Assumptions!$B$6:$B$17,0)),""))</f>
        <v/>
      </c>
      <c r="AD38" s="461">
        <f t="shared" si="10"/>
        <v>0</v>
      </c>
      <c r="AE38" s="459">
        <f t="shared" si="11"/>
        <v>0</v>
      </c>
      <c r="AF38" s="459" t="str">
        <f>IF(W38="","",IFERROR(W38*INDEX(Assumptions!$D$20:$D$23,MATCH('Input-EWEMs'!W$11,Assumptions!$C$20:$C$23,0))/1000,""))</f>
        <v/>
      </c>
      <c r="AG38" s="460">
        <f>IFERROR(T38*INDEX(Assumptions!$H$6:$H$17,MATCH('Input-EWEMs'!T$11,Assumptions!$C$6:$C$17,0)),0)+IFERROR(U38*INDEX(Assumptions!$H$6:$H$17,MATCH('Input-EWEMs'!U$11,Assumptions!$C$6:$C$17,0)),0)+IFERROR(V38*INDEX(Assumptions!$H$6:$H$17,MATCH('Input-EWEMs'!V$11,Assumptions!$C$6:$C$17,0)),0)</f>
        <v>0</v>
      </c>
      <c r="AH38" s="464" t="str">
        <f>IFERROR(IF(D38="","",SUM(X38:Z38)/'Input-Utilities'!$N$14),"")</f>
        <v/>
      </c>
      <c r="AI38" s="714" t="str">
        <f>IFERROR(IF(D38="","",AG38/'Input-Utilities'!$L$16),"")</f>
        <v/>
      </c>
      <c r="AJ38" s="465" t="str">
        <f>IFERROR(IF(D38="","",W38/'Input-Utilities'!$J$13),"")</f>
        <v/>
      </c>
      <c r="AK38" s="466" t="str">
        <f>IFERROR(IF($D38="","",IF(INDEX('Reference-MeasureList EULs'!D:D, MATCH('Input-EWEMs'!E38,'Reference-MeasureList EULs'!C:C,0))=0,"",INDEX('Reference-MeasureList EULs'!D:D, MATCH('Input-EWEMs'!E38,'Reference-MeasureList EULs'!C:C,0)))),"")</f>
        <v/>
      </c>
    </row>
    <row r="39" spans="3:37" x14ac:dyDescent="0.2">
      <c r="C39" s="467">
        <v>28</v>
      </c>
      <c r="D39" s="468"/>
      <c r="E39" s="469"/>
      <c r="F39" s="470"/>
      <c r="G39" s="471"/>
      <c r="H39" s="472"/>
      <c r="I39" s="321"/>
      <c r="J39" s="453" t="str">
        <f>IFERROR(IF(I39=0,"",I39/'Input-Property'!$D$42),"")</f>
        <v/>
      </c>
      <c r="K39" s="603"/>
      <c r="L39" s="604"/>
      <c r="M39" s="608" t="str">
        <f t="shared" si="3"/>
        <v/>
      </c>
      <c r="N39" s="473"/>
      <c r="O39" s="473"/>
      <c r="P39" s="455" t="str">
        <f t="shared" si="4"/>
        <v/>
      </c>
      <c r="Q39" s="474"/>
      <c r="R39" s="473"/>
      <c r="S39" s="455" t="str">
        <f t="shared" si="5"/>
        <v/>
      </c>
      <c r="T39" s="475"/>
      <c r="U39" s="350"/>
      <c r="V39" s="350"/>
      <c r="W39" s="476"/>
      <c r="X39" s="458" t="str">
        <f>IF(T39="","",IFERROR(T39*INDEX(Assumptions!$D$6:$D$17,MATCH('Input-EWEMs'!T$11,Assumptions!$C$6:$C$17,0))/1000,""))</f>
        <v/>
      </c>
      <c r="Y39" s="459" t="str">
        <f>IF(U39="","",IFERROR(U39*INDEX(Assumptions!$D$6:$D$17,MATCH('Input-EWEMs'!U$11,Assumptions!$C$6:$C$17,0))/1000,""))</f>
        <v/>
      </c>
      <c r="Z39" s="460" t="str">
        <f>IF(V39="","",IFERROR(V39*INDEX(Assumptions!$D$6:$D$17,MATCH('Input-EWEMs'!V$11,Assumptions!$C$6:$C$17,0))/1000,""))</f>
        <v/>
      </c>
      <c r="AA39" s="458" t="str">
        <f>IF(X39="","",IFERROR(X39*INDEX(Assumptions!$E$6:$E$17,MATCH('Input-EWEMs'!AA$10,Assumptions!$B$6:$B$17,0)),""))</f>
        <v/>
      </c>
      <c r="AB39" s="459" t="str">
        <f>IF(Y39="","",IFERROR(Y39*INDEX(Assumptions!$E$6:$E$17,MATCH('Input-EWEMs'!AB$10,Assumptions!$B$6:$B$17,0)),""))</f>
        <v/>
      </c>
      <c r="AC39" s="460" t="str">
        <f>IF(Z39="","",IFERROR(Z39*INDEX(Assumptions!$E$6:$E$17,MATCH('Input-EWEMs'!AC$10,Assumptions!$B$6:$B$17,0)),""))</f>
        <v/>
      </c>
      <c r="AD39" s="461">
        <f t="shared" si="10"/>
        <v>0</v>
      </c>
      <c r="AE39" s="459">
        <f t="shared" si="11"/>
        <v>0</v>
      </c>
      <c r="AF39" s="459" t="str">
        <f>IF(W39="","",IFERROR(W39*INDEX(Assumptions!$D$20:$D$23,MATCH('Input-EWEMs'!W$11,Assumptions!$C$20:$C$23,0))/1000,""))</f>
        <v/>
      </c>
      <c r="AG39" s="460">
        <f>IFERROR(T39*INDEX(Assumptions!$H$6:$H$17,MATCH('Input-EWEMs'!T$11,Assumptions!$C$6:$C$17,0)),0)+IFERROR(U39*INDEX(Assumptions!$H$6:$H$17,MATCH('Input-EWEMs'!U$11,Assumptions!$C$6:$C$17,0)),0)+IFERROR(V39*INDEX(Assumptions!$H$6:$H$17,MATCH('Input-EWEMs'!V$11,Assumptions!$C$6:$C$17,0)),0)</f>
        <v>0</v>
      </c>
      <c r="AH39" s="464" t="str">
        <f>IFERROR(IF(D39="","",SUM(X39:Z39)/'Input-Utilities'!$N$14),"")</f>
        <v/>
      </c>
      <c r="AI39" s="714" t="str">
        <f>IFERROR(IF(D39="","",AG39/'Input-Utilities'!$L$16),"")</f>
        <v/>
      </c>
      <c r="AJ39" s="465" t="str">
        <f>IFERROR(IF(D39="","",W39/'Input-Utilities'!$J$13),"")</f>
        <v/>
      </c>
      <c r="AK39" s="466" t="str">
        <f>IFERROR(IF($D39="","",IF(INDEX('Reference-MeasureList EULs'!D:D, MATCH('Input-EWEMs'!E39,'Reference-MeasureList EULs'!C:C,0))=0,"",INDEX('Reference-MeasureList EULs'!D:D, MATCH('Input-EWEMs'!E39,'Reference-MeasureList EULs'!C:C,0)))),"")</f>
        <v/>
      </c>
    </row>
    <row r="40" spans="3:37" x14ac:dyDescent="0.2">
      <c r="C40" s="467">
        <v>29</v>
      </c>
      <c r="D40" s="468"/>
      <c r="E40" s="469"/>
      <c r="F40" s="470"/>
      <c r="G40" s="471"/>
      <c r="H40" s="472"/>
      <c r="I40" s="321"/>
      <c r="J40" s="453" t="str">
        <f>IFERROR(IF(I40=0,"",I40/'Input-Property'!$D$42),"")</f>
        <v/>
      </c>
      <c r="K40" s="603"/>
      <c r="L40" s="604"/>
      <c r="M40" s="608" t="str">
        <f t="shared" si="3"/>
        <v/>
      </c>
      <c r="N40" s="473"/>
      <c r="O40" s="473"/>
      <c r="P40" s="455" t="str">
        <f t="shared" si="4"/>
        <v/>
      </c>
      <c r="Q40" s="474"/>
      <c r="R40" s="473"/>
      <c r="S40" s="455" t="str">
        <f t="shared" si="5"/>
        <v/>
      </c>
      <c r="T40" s="475"/>
      <c r="U40" s="350"/>
      <c r="V40" s="350"/>
      <c r="W40" s="476"/>
      <c r="X40" s="458" t="str">
        <f>IF(T40="","",IFERROR(T40*INDEX(Assumptions!$D$6:$D$17,MATCH('Input-EWEMs'!T$11,Assumptions!$C$6:$C$17,0))/1000,""))</f>
        <v/>
      </c>
      <c r="Y40" s="459" t="str">
        <f>IF(U40="","",IFERROR(U40*INDEX(Assumptions!$D$6:$D$17,MATCH('Input-EWEMs'!U$11,Assumptions!$C$6:$C$17,0))/1000,""))</f>
        <v/>
      </c>
      <c r="Z40" s="460" t="str">
        <f>IF(V40="","",IFERROR(V40*INDEX(Assumptions!$D$6:$D$17,MATCH('Input-EWEMs'!V$11,Assumptions!$C$6:$C$17,0))/1000,""))</f>
        <v/>
      </c>
      <c r="AA40" s="458" t="str">
        <f>IF(X40="","",IFERROR(X40*INDEX(Assumptions!$E$6:$E$17,MATCH('Input-EWEMs'!AA$10,Assumptions!$B$6:$B$17,0)),""))</f>
        <v/>
      </c>
      <c r="AB40" s="459" t="str">
        <f>IF(Y40="","",IFERROR(Y40*INDEX(Assumptions!$E$6:$E$17,MATCH('Input-EWEMs'!AB$10,Assumptions!$B$6:$B$17,0)),""))</f>
        <v/>
      </c>
      <c r="AC40" s="460" t="str">
        <f>IF(Z40="","",IFERROR(Z40*INDEX(Assumptions!$E$6:$E$17,MATCH('Input-EWEMs'!AC$10,Assumptions!$B$6:$B$17,0)),""))</f>
        <v/>
      </c>
      <c r="AD40" s="461">
        <f t="shared" si="10"/>
        <v>0</v>
      </c>
      <c r="AE40" s="459">
        <f t="shared" si="11"/>
        <v>0</v>
      </c>
      <c r="AF40" s="459" t="str">
        <f>IF(W40="","",IFERROR(W40*INDEX(Assumptions!$D$20:$D$23,MATCH('Input-EWEMs'!W$11,Assumptions!$C$20:$C$23,0))/1000,""))</f>
        <v/>
      </c>
      <c r="AG40" s="460">
        <f>IFERROR(T40*INDEX(Assumptions!$H$6:$H$17,MATCH('Input-EWEMs'!T$11,Assumptions!$C$6:$C$17,0)),0)+IFERROR(U40*INDEX(Assumptions!$H$6:$H$17,MATCH('Input-EWEMs'!U$11,Assumptions!$C$6:$C$17,0)),0)+IFERROR(V40*INDEX(Assumptions!$H$6:$H$17,MATCH('Input-EWEMs'!V$11,Assumptions!$C$6:$C$17,0)),0)</f>
        <v>0</v>
      </c>
      <c r="AH40" s="464" t="str">
        <f>IFERROR(IF(D40="","",SUM(X40:Z40)/'Input-Utilities'!$N$14),"")</f>
        <v/>
      </c>
      <c r="AI40" s="714" t="str">
        <f>IFERROR(IF(D40="","",AG40/'Input-Utilities'!$L$16),"")</f>
        <v/>
      </c>
      <c r="AJ40" s="465" t="str">
        <f>IFERROR(IF(D40="","",W40/'Input-Utilities'!$J$13),"")</f>
        <v/>
      </c>
      <c r="AK40" s="466" t="str">
        <f>IFERROR(IF($D40="","",IF(INDEX('Reference-MeasureList EULs'!D:D, MATCH('Input-EWEMs'!E40,'Reference-MeasureList EULs'!C:C,0))=0,"",INDEX('Reference-MeasureList EULs'!D:D, MATCH('Input-EWEMs'!E40,'Reference-MeasureList EULs'!C:C,0)))),"")</f>
        <v/>
      </c>
    </row>
    <row r="41" spans="3:37" x14ac:dyDescent="0.2">
      <c r="C41" s="477">
        <v>30</v>
      </c>
      <c r="D41" s="478"/>
      <c r="E41" s="479"/>
      <c r="F41" s="480"/>
      <c r="G41" s="481"/>
      <c r="H41" s="482"/>
      <c r="I41" s="483"/>
      <c r="J41" s="484" t="str">
        <f>IFERROR(IF(I41=0,"",I41/'Input-Property'!$D$42),"")</f>
        <v/>
      </c>
      <c r="K41" s="605"/>
      <c r="L41" s="606"/>
      <c r="M41" s="608" t="str">
        <f t="shared" si="3"/>
        <v/>
      </c>
      <c r="N41" s="485"/>
      <c r="O41" s="485"/>
      <c r="P41" s="486" t="str">
        <f t="shared" si="4"/>
        <v/>
      </c>
      <c r="Q41" s="487"/>
      <c r="R41" s="485"/>
      <c r="S41" s="486" t="str">
        <f t="shared" si="5"/>
        <v/>
      </c>
      <c r="T41" s="488"/>
      <c r="U41" s="489"/>
      <c r="V41" s="489"/>
      <c r="W41" s="490"/>
      <c r="X41" s="491" t="str">
        <f>IF(T41="","",IFERROR(T41*INDEX(Assumptions!$D$6:$D$17,MATCH('Input-EWEMs'!T$11,Assumptions!$C$6:$C$17,0))/1000,""))</f>
        <v/>
      </c>
      <c r="Y41" s="492" t="str">
        <f>IF(U41="","",IFERROR(U41*INDEX(Assumptions!$D$6:$D$17,MATCH('Input-EWEMs'!U$11,Assumptions!$C$6:$C$17,0))/1000,""))</f>
        <v/>
      </c>
      <c r="Z41" s="493" t="str">
        <f>IF(V41="","",IFERROR(V41*INDEX(Assumptions!$D$6:$D$17,MATCH('Input-EWEMs'!V$11,Assumptions!$C$6:$C$17,0))/1000,""))</f>
        <v/>
      </c>
      <c r="AA41" s="491" t="str">
        <f>IF(X41="","",IFERROR(X41*INDEX(Assumptions!$E$6:$E$17,MATCH('Input-EWEMs'!AA$10,Assumptions!$B$6:$B$17,0)),""))</f>
        <v/>
      </c>
      <c r="AB41" s="492" t="str">
        <f>IF(Y41="","",IFERROR(Y41*INDEX(Assumptions!$E$6:$E$17,MATCH('Input-EWEMs'!AB$10,Assumptions!$B$6:$B$17,0)),""))</f>
        <v/>
      </c>
      <c r="AC41" s="493" t="str">
        <f>IF(Z41="","",IFERROR(Z41*INDEX(Assumptions!$E$6:$E$17,MATCH('Input-EWEMs'!AC$10,Assumptions!$B$6:$B$17,0)),""))</f>
        <v/>
      </c>
      <c r="AD41" s="494">
        <f t="shared" si="10"/>
        <v>0</v>
      </c>
      <c r="AE41" s="492">
        <f t="shared" si="11"/>
        <v>0</v>
      </c>
      <c r="AF41" s="492" t="str">
        <f>IF(W41="","",IFERROR(W41*INDEX(Assumptions!$D$20:$D$23,MATCH('Input-EWEMs'!W$11,Assumptions!$C$20:$C$23,0))/1000,""))</f>
        <v/>
      </c>
      <c r="AG41" s="493">
        <f>IFERROR(T41*INDEX(Assumptions!$H$6:$H$17,MATCH('Input-EWEMs'!T$11,Assumptions!$C$6:$C$17,0)),0)+IFERROR(U41*INDEX(Assumptions!$H$6:$H$17,MATCH('Input-EWEMs'!U$11,Assumptions!$C$6:$C$17,0)),0)+IFERROR(V41*INDEX(Assumptions!$H$6:$H$17,MATCH('Input-EWEMs'!V$11,Assumptions!$C$6:$C$17,0)),0)</f>
        <v>0</v>
      </c>
      <c r="AH41" s="464" t="str">
        <f>IFERROR(IF(D41="","",SUM(X41:Z41)/'Input-Utilities'!$N$14),"")</f>
        <v/>
      </c>
      <c r="AI41" s="714" t="str">
        <f>IFERROR(IF(D41="","",AG41/'Input-Utilities'!$L$16),"")</f>
        <v/>
      </c>
      <c r="AJ41" s="495" t="str">
        <f>IFERROR(IF(D41="","",W41/'Input-Utilities'!$J$13),"")</f>
        <v/>
      </c>
      <c r="AK41" s="496" t="str">
        <f>IFERROR(IF($D41="","",IF(INDEX('Reference-MeasureList EULs'!D:D, MATCH('Input-EWEMs'!E41,'Reference-MeasureList EULs'!C:C,0))=0,"",INDEX('Reference-MeasureList EULs'!D:D, MATCH('Input-EWEMs'!E41,'Reference-MeasureList EULs'!C:C,0)))),"")</f>
        <v/>
      </c>
    </row>
    <row r="42" spans="3:37" x14ac:dyDescent="0.2">
      <c r="C42" s="497"/>
      <c r="D42" s="287"/>
      <c r="E42" s="287"/>
      <c r="F42" s="498"/>
      <c r="G42" s="498"/>
      <c r="H42" s="287"/>
      <c r="I42" s="499"/>
      <c r="J42" s="609" t="s">
        <v>395</v>
      </c>
      <c r="K42" s="500">
        <f>SUM(K12:K41)</f>
        <v>2947096</v>
      </c>
      <c r="L42" s="500">
        <f t="shared" ref="L42:W42" si="12">SUM(L12:L41)</f>
        <v>862416</v>
      </c>
      <c r="M42" s="501">
        <f t="shared" si="12"/>
        <v>3809512</v>
      </c>
      <c r="N42" s="500">
        <f t="shared" si="12"/>
        <v>202074.24260467576</v>
      </c>
      <c r="O42" s="500">
        <f t="shared" si="12"/>
        <v>0</v>
      </c>
      <c r="P42" s="501">
        <f t="shared" si="12"/>
        <v>202074.24260467576</v>
      </c>
      <c r="Q42" s="502">
        <f t="shared" si="12"/>
        <v>0</v>
      </c>
      <c r="R42" s="500">
        <f t="shared" si="12"/>
        <v>12805.030243917896</v>
      </c>
      <c r="S42" s="503">
        <f t="shared" si="12"/>
        <v>12805.030243917896</v>
      </c>
      <c r="T42" s="504">
        <f t="shared" si="12"/>
        <v>1837143</v>
      </c>
      <c r="U42" s="505">
        <f t="shared" si="12"/>
        <v>7157</v>
      </c>
      <c r="V42" s="505">
        <f t="shared" si="12"/>
        <v>0</v>
      </c>
      <c r="W42" s="506">
        <f t="shared" si="12"/>
        <v>2880500</v>
      </c>
      <c r="X42" s="507">
        <f>SUM(X12:X41)</f>
        <v>6268331.9159999993</v>
      </c>
      <c r="Y42" s="508">
        <f t="shared" ref="Y42:AG42" si="13">SUM(Y12:Y41)</f>
        <v>715700</v>
      </c>
      <c r="Z42" s="509">
        <f t="shared" si="13"/>
        <v>0</v>
      </c>
      <c r="AA42" s="507">
        <f t="shared" si="13"/>
        <v>17551329.364799999</v>
      </c>
      <c r="AB42" s="508">
        <f t="shared" si="13"/>
        <v>751485</v>
      </c>
      <c r="AC42" s="509">
        <f t="shared" si="13"/>
        <v>0</v>
      </c>
      <c r="AD42" s="504">
        <f>SUM(AD12:AD41)</f>
        <v>6984031.9159999993</v>
      </c>
      <c r="AE42" s="505">
        <f t="shared" si="13"/>
        <v>18302814.364799999</v>
      </c>
      <c r="AF42" s="505">
        <f t="shared" si="13"/>
        <v>2880.5</v>
      </c>
      <c r="AG42" s="509">
        <f t="shared" si="13"/>
        <v>1594940.676378483</v>
      </c>
      <c r="AH42" s="510">
        <f>SUM(AH12:AH41)</f>
        <v>0.82331230242908537</v>
      </c>
      <c r="AI42" s="731">
        <f>SUM(AI12:AI41)</f>
        <v>0.89912453870605302</v>
      </c>
      <c r="AJ42" s="511">
        <f>SUM(AJ12:AJ41)</f>
        <v>0.37714065454492129</v>
      </c>
      <c r="AK42" s="512"/>
    </row>
    <row r="45" spans="3:37" ht="15" customHeight="1" thickBot="1" x14ac:dyDescent="0.3">
      <c r="C45" s="111" t="s">
        <v>396</v>
      </c>
      <c r="D45" s="113"/>
      <c r="E45" s="113"/>
      <c r="F45" s="113"/>
      <c r="G45" s="113"/>
      <c r="H45" s="113"/>
      <c r="I45" s="113"/>
      <c r="J45" s="113"/>
      <c r="K45" s="113"/>
      <c r="L45" s="113"/>
      <c r="M45" s="113"/>
      <c r="N45" s="113"/>
      <c r="O45" s="113"/>
      <c r="P45" s="113"/>
      <c r="Q45" s="113"/>
      <c r="R45" s="113"/>
      <c r="S45" s="113"/>
      <c r="T45" s="113"/>
      <c r="U45" s="113"/>
      <c r="V45" s="113"/>
      <c r="W45" s="113"/>
      <c r="X45" s="113"/>
      <c r="Y45" s="113"/>
      <c r="Z45" s="113"/>
      <c r="AA45" s="113"/>
      <c r="AB45" s="113"/>
      <c r="AC45" s="113"/>
      <c r="AD45" s="113"/>
      <c r="AE45" s="113"/>
      <c r="AF45" s="113"/>
      <c r="AG45" s="113"/>
      <c r="AH45" s="113"/>
      <c r="AI45" s="113"/>
      <c r="AJ45" s="113"/>
      <c r="AK45" s="113"/>
    </row>
    <row r="46" spans="3:37" ht="20.25" customHeight="1" x14ac:dyDescent="0.2">
      <c r="C46" s="877" t="s">
        <v>397</v>
      </c>
      <c r="D46" s="877"/>
      <c r="E46" s="877"/>
      <c r="F46" s="877"/>
      <c r="G46" s="877"/>
      <c r="H46" s="877"/>
      <c r="I46" s="877"/>
      <c r="J46" s="877"/>
      <c r="K46" s="877"/>
      <c r="L46" s="877"/>
      <c r="M46" s="877"/>
      <c r="N46" s="877"/>
      <c r="O46" s="877"/>
      <c r="P46" s="877"/>
      <c r="Q46" s="877"/>
      <c r="R46" s="877"/>
      <c r="S46" s="877"/>
      <c r="T46" s="877"/>
      <c r="U46" s="877"/>
      <c r="V46" s="877"/>
      <c r="W46" s="109"/>
      <c r="X46" s="109"/>
      <c r="Y46" s="109"/>
      <c r="Z46" s="109"/>
      <c r="AA46" s="109"/>
      <c r="AB46" s="109"/>
      <c r="AC46" s="109"/>
      <c r="AD46" s="109"/>
      <c r="AE46" s="109"/>
      <c r="AF46" s="109"/>
      <c r="AG46" s="109"/>
      <c r="AH46" s="109"/>
      <c r="AI46" s="109"/>
      <c r="AJ46" s="109"/>
      <c r="AK46" s="109"/>
    </row>
    <row r="48" spans="3:37" x14ac:dyDescent="0.2">
      <c r="K48" s="1002" t="s">
        <v>370</v>
      </c>
      <c r="L48" s="1002"/>
      <c r="M48" s="1002"/>
      <c r="N48" s="1002"/>
      <c r="O48" s="1002"/>
      <c r="P48" s="1002"/>
      <c r="Q48" s="1002"/>
      <c r="R48" s="1002"/>
      <c r="S48" s="1002"/>
      <c r="T48" s="992" t="s">
        <v>371</v>
      </c>
      <c r="U48" s="993"/>
      <c r="V48" s="993"/>
      <c r="W48" s="993"/>
      <c r="X48" s="993"/>
      <c r="Y48" s="993"/>
      <c r="Z48" s="993"/>
      <c r="AA48" s="993"/>
      <c r="AB48" s="993"/>
      <c r="AC48" s="993"/>
      <c r="AD48" s="993"/>
      <c r="AE48" s="993"/>
      <c r="AF48" s="993"/>
      <c r="AG48" s="993"/>
      <c r="AH48" s="993"/>
      <c r="AI48" s="993"/>
      <c r="AJ48" s="994"/>
    </row>
    <row r="49" spans="3:37" ht="36" customHeight="1" x14ac:dyDescent="0.2">
      <c r="C49" s="834" t="s">
        <v>398</v>
      </c>
      <c r="D49" s="809" t="s">
        <v>372</v>
      </c>
      <c r="E49" s="815" t="s">
        <v>373</v>
      </c>
      <c r="F49" s="815" t="s">
        <v>374</v>
      </c>
      <c r="G49" s="806" t="s">
        <v>375</v>
      </c>
      <c r="H49" s="809" t="s">
        <v>376</v>
      </c>
      <c r="I49" s="815" t="s">
        <v>377</v>
      </c>
      <c r="J49" s="806" t="s">
        <v>378</v>
      </c>
      <c r="K49" s="986" t="s">
        <v>72</v>
      </c>
      <c r="L49" s="987"/>
      <c r="M49" s="988"/>
      <c r="N49" s="986" t="s">
        <v>379</v>
      </c>
      <c r="O49" s="987"/>
      <c r="P49" s="988"/>
      <c r="Q49" s="986" t="s">
        <v>380</v>
      </c>
      <c r="R49" s="987"/>
      <c r="S49" s="988"/>
      <c r="T49" s="809" t="s">
        <v>381</v>
      </c>
      <c r="U49" s="815" t="str">
        <f>U9</f>
        <v>Annual Natural Gas Savings</v>
      </c>
      <c r="V49" s="815" t="str">
        <f>V9</f>
        <v>n/a</v>
      </c>
      <c r="W49" s="806" t="str">
        <f>W9</f>
        <v>Annual Water Savings</v>
      </c>
      <c r="X49" s="986" t="s">
        <v>383</v>
      </c>
      <c r="Y49" s="987"/>
      <c r="Z49" s="988"/>
      <c r="AA49" s="986" t="s">
        <v>384</v>
      </c>
      <c r="AB49" s="987"/>
      <c r="AC49" s="988"/>
      <c r="AD49" s="513" t="s">
        <v>383</v>
      </c>
      <c r="AE49" s="436" t="s">
        <v>384</v>
      </c>
      <c r="AF49" s="436" t="s">
        <v>385</v>
      </c>
      <c r="AG49" s="514" t="s">
        <v>386</v>
      </c>
      <c r="AH49" s="809" t="s">
        <v>50</v>
      </c>
      <c r="AI49" s="815" t="s">
        <v>386</v>
      </c>
      <c r="AJ49" s="806" t="s">
        <v>51</v>
      </c>
      <c r="AK49" s="806" t="s">
        <v>387</v>
      </c>
    </row>
    <row r="50" spans="3:37" x14ac:dyDescent="0.2">
      <c r="C50" s="995"/>
      <c r="D50" s="997"/>
      <c r="E50" s="989"/>
      <c r="F50" s="989"/>
      <c r="G50" s="1000"/>
      <c r="H50" s="997"/>
      <c r="I50" s="989"/>
      <c r="J50" s="1000"/>
      <c r="K50" s="762" t="s">
        <v>388</v>
      </c>
      <c r="L50" s="762" t="s">
        <v>389</v>
      </c>
      <c r="M50" s="437" t="s">
        <v>64</v>
      </c>
      <c r="N50" s="762" t="s">
        <v>81</v>
      </c>
      <c r="O50" s="515" t="s">
        <v>82</v>
      </c>
      <c r="P50" s="437" t="s">
        <v>64</v>
      </c>
      <c r="Q50" s="438" t="s">
        <v>81</v>
      </c>
      <c r="R50" s="515" t="s">
        <v>82</v>
      </c>
      <c r="S50" s="437" t="s">
        <v>64</v>
      </c>
      <c r="T50" s="999"/>
      <c r="U50" s="991"/>
      <c r="V50" s="991"/>
      <c r="W50" s="985"/>
      <c r="X50" s="439" t="str">
        <f>X10</f>
        <v>Electricity</v>
      </c>
      <c r="Y50" s="757" t="str">
        <f t="shared" ref="Y50:AF50" si="14">Y10</f>
        <v>Natural Gas</v>
      </c>
      <c r="Z50" s="440" t="str">
        <f t="shared" si="14"/>
        <v>n/a</v>
      </c>
      <c r="AA50" s="439" t="str">
        <f t="shared" si="14"/>
        <v>Electricity</v>
      </c>
      <c r="AB50" s="757" t="str">
        <f t="shared" si="14"/>
        <v>Natural Gas</v>
      </c>
      <c r="AC50" s="440" t="str">
        <f t="shared" si="14"/>
        <v>n/a</v>
      </c>
      <c r="AD50" s="758" t="s">
        <v>390</v>
      </c>
      <c r="AE50" s="757" t="s">
        <v>390</v>
      </c>
      <c r="AF50" s="757" t="str">
        <f t="shared" si="14"/>
        <v>Water and Sewer</v>
      </c>
      <c r="AG50" s="759" t="s">
        <v>390</v>
      </c>
      <c r="AH50" s="999"/>
      <c r="AI50" s="991"/>
      <c r="AJ50" s="985"/>
      <c r="AK50" s="985"/>
    </row>
    <row r="51" spans="3:37" ht="14" customHeight="1" thickBot="1" x14ac:dyDescent="0.25">
      <c r="C51" s="996"/>
      <c r="D51" s="998"/>
      <c r="E51" s="990"/>
      <c r="F51" s="990"/>
      <c r="G51" s="1001"/>
      <c r="H51" s="998"/>
      <c r="I51" s="990"/>
      <c r="J51" s="1001"/>
      <c r="K51" s="441" t="s">
        <v>391</v>
      </c>
      <c r="L51" s="441" t="s">
        <v>391</v>
      </c>
      <c r="M51" s="442" t="s">
        <v>391</v>
      </c>
      <c r="N51" s="441" t="s">
        <v>391</v>
      </c>
      <c r="O51" s="441" t="s">
        <v>391</v>
      </c>
      <c r="P51" s="442" t="s">
        <v>391</v>
      </c>
      <c r="Q51" s="443" t="s">
        <v>391</v>
      </c>
      <c r="R51" s="441" t="s">
        <v>391</v>
      </c>
      <c r="S51" s="442" t="s">
        <v>391</v>
      </c>
      <c r="T51" s="444" t="s">
        <v>277</v>
      </c>
      <c r="U51" s="441" t="str">
        <f>U11</f>
        <v>therms gas</v>
      </c>
      <c r="V51" s="441" t="str">
        <f>V11</f>
        <v/>
      </c>
      <c r="W51" s="445" t="str">
        <f>W11</f>
        <v>Gal</v>
      </c>
      <c r="X51" s="446" t="s">
        <v>83</v>
      </c>
      <c r="Y51" s="441" t="s">
        <v>83</v>
      </c>
      <c r="Z51" s="442" t="s">
        <v>83</v>
      </c>
      <c r="AA51" s="446" t="s">
        <v>83</v>
      </c>
      <c r="AB51" s="441" t="s">
        <v>83</v>
      </c>
      <c r="AC51" s="442" t="s">
        <v>83</v>
      </c>
      <c r="AD51" s="444" t="s">
        <v>83</v>
      </c>
      <c r="AE51" s="441" t="s">
        <v>83</v>
      </c>
      <c r="AF51" s="441" t="s">
        <v>84</v>
      </c>
      <c r="AG51" s="445" t="s">
        <v>392</v>
      </c>
      <c r="AH51" s="444" t="s">
        <v>393</v>
      </c>
      <c r="AI51" s="443" t="s">
        <v>393</v>
      </c>
      <c r="AJ51" s="445" t="s">
        <v>393</v>
      </c>
      <c r="AK51" s="445" t="s">
        <v>394</v>
      </c>
    </row>
    <row r="52" spans="3:37" ht="16" thickTop="1" x14ac:dyDescent="0.2">
      <c r="C52" s="516"/>
      <c r="D52" s="517" t="str">
        <f>IFERROR(INDEX('Input-EWEMs'!D$12:D$41, MATCH($C52, 'Input-EWEMs'!$C$12:$C$41, 0)),"")</f>
        <v/>
      </c>
      <c r="E52" s="518" t="str">
        <f>IFERROR(INDEX('Input-EWEMs'!E$12:E$41, MATCH($C52, 'Input-EWEMs'!$C$12:$C$41, 0)),"")</f>
        <v/>
      </c>
      <c r="F52" s="449"/>
      <c r="G52" s="451"/>
      <c r="H52" s="452"/>
      <c r="I52" s="317"/>
      <c r="J52" s="453" t="str">
        <f>IFERROR(IF(I52=0,"",I52/'Input-Property'!$D$42),"")</f>
        <v/>
      </c>
      <c r="K52" s="601"/>
      <c r="L52" s="602"/>
      <c r="M52" s="607" t="str">
        <f>IF(D52="","",SUM(K52:L52))</f>
        <v/>
      </c>
      <c r="N52" s="454"/>
      <c r="O52" s="454"/>
      <c r="P52" s="455" t="str">
        <f t="shared" ref="P52:P61" si="15">IF(D52="","",SUM(N52:O52))</f>
        <v/>
      </c>
      <c r="Q52" s="456"/>
      <c r="R52" s="454"/>
      <c r="S52" s="455" t="str">
        <f t="shared" ref="S52:S61" si="16">IF(D52="","",SUM(Q52:R52))</f>
        <v/>
      </c>
      <c r="T52" s="348"/>
      <c r="U52" s="346"/>
      <c r="V52" s="346"/>
      <c r="W52" s="457"/>
      <c r="X52" s="458" t="str">
        <f>IF(T52="","",IFERROR(T52*INDEX(Assumptions!$D$6:$D$17,MATCH('Input-EWEMs'!T$11,Assumptions!$C$6:$C$17,0))/1000,""))</f>
        <v/>
      </c>
      <c r="Y52" s="459" t="str">
        <f>IF(U52="","",IFERROR(U52*INDEX(Assumptions!$D$6:$D$17,MATCH('Input-EWEMs'!U$11,Assumptions!$C$6:$C$17,0))/1000,""))</f>
        <v/>
      </c>
      <c r="Z52" s="460" t="str">
        <f>IF(V52="","",IFERROR(V52*INDEX(Assumptions!$D$6:$D$17,MATCH('Input-EWEMs'!V$11,Assumptions!$C$6:$C$17,0))/1000,""))</f>
        <v/>
      </c>
      <c r="AA52" s="458" t="str">
        <f>IF(X52="","",IFERROR(X52*INDEX(Assumptions!$E$6:$E$17,MATCH('Input-EWEMs'!AA$10,Assumptions!$B$6:$B$17,0)),""))</f>
        <v/>
      </c>
      <c r="AB52" s="459" t="str">
        <f>IF(Y52="","",IFERROR(Y52*INDEX(Assumptions!$E$6:$E$17,MATCH('Input-EWEMs'!AB$10,Assumptions!$B$6:$B$17,0)),""))</f>
        <v/>
      </c>
      <c r="AC52" s="460" t="str">
        <f>IF(Z52="","",IFERROR(Z52*INDEX(Assumptions!$E$6:$E$17,MATCH('Input-EWEMs'!AC$10,Assumptions!$B$6:$B$17,0)),""))</f>
        <v/>
      </c>
      <c r="AD52" s="461">
        <f>SUM(X52:Z52)</f>
        <v>0</v>
      </c>
      <c r="AE52" s="459">
        <f>SUM(AA52:AC52)</f>
        <v>0</v>
      </c>
      <c r="AF52" s="462" t="str">
        <f>IF(W52="","",IFERROR(W52*INDEX(Assumptions!$D$20:$D$23,MATCH('Input-EWEMs'!W$11,Assumptions!$C$20:$C$23,0))/1000,""))</f>
        <v/>
      </c>
      <c r="AG52" s="519">
        <f>IFERROR(T52*INDEX(Assumptions!$H$6:$H$17,MATCH('Input-EWEMs'!T$11,Assumptions!$C$6:$C$17,0)),0)+IFERROR(U52*INDEX(Assumptions!$H$6:$H$17,MATCH('Input-EWEMs'!U$11,Assumptions!$C$6:$C$17,0)),0)+IFERROR(V52*INDEX(Assumptions!$H$6:$H$17,MATCH('Input-EWEMs'!V$11,Assumptions!$C$6:$C$17,0)),0)</f>
        <v>0</v>
      </c>
      <c r="AH52" s="464" t="str">
        <f>IFERROR(IF(D52="","",SUM(X52:Z52)/'Input-Utilities'!$N$14),"")</f>
        <v/>
      </c>
      <c r="AI52" s="714" t="str">
        <f>IFERROR(IF(D52="","",AG52/'Input-Utilities'!$L$16),"")</f>
        <v/>
      </c>
      <c r="AJ52" s="465" t="str">
        <f>IFERROR(IF(D52="","",W52/'Input-Utilities'!$J$13),"")</f>
        <v/>
      </c>
      <c r="AK52" s="466" t="str">
        <f>IFERROR(IF($D52="","",IF(INDEX('Reference-MeasureList EULs'!D:D, MATCH('Input-EWEMs'!E52,'Reference-MeasureList EULs'!C:C,0))=0,"",INDEX('Reference-MeasureList EULs'!D:D, MATCH('Input-EWEMs'!E52,'Reference-MeasureList EULs'!C:C,0)))),"")</f>
        <v/>
      </c>
    </row>
    <row r="53" spans="3:37" x14ac:dyDescent="0.2">
      <c r="C53" s="516"/>
      <c r="D53" s="517" t="str">
        <f>IFERROR(INDEX('Input-EWEMs'!D$12:D$41, MATCH($C53, 'Input-EWEMs'!$C$12:$C$41, 0)),"")</f>
        <v/>
      </c>
      <c r="E53" s="518" t="str">
        <f>IFERROR(INDEX('Input-EWEMs'!E$12:E$41, MATCH($C53, 'Input-EWEMs'!$C$12:$C$41, 0)),"")</f>
        <v/>
      </c>
      <c r="F53" s="469"/>
      <c r="G53" s="451"/>
      <c r="H53" s="472"/>
      <c r="I53" s="321"/>
      <c r="J53" s="453" t="str">
        <f>IFERROR(IF(I53=0,"",I53/'Input-Property'!$D$42),"")</f>
        <v/>
      </c>
      <c r="K53" s="603"/>
      <c r="L53" s="604"/>
      <c r="M53" s="608" t="str">
        <f t="shared" ref="M53:M54" si="17">IF(D53="","",SUM(K53:L53))</f>
        <v/>
      </c>
      <c r="N53" s="473"/>
      <c r="O53" s="473"/>
      <c r="P53" s="455" t="str">
        <f t="shared" si="15"/>
        <v/>
      </c>
      <c r="Q53" s="474"/>
      <c r="R53" s="473"/>
      <c r="S53" s="455" t="str">
        <f t="shared" si="16"/>
        <v/>
      </c>
      <c r="T53" s="475"/>
      <c r="U53" s="350"/>
      <c r="V53" s="350"/>
      <c r="W53" s="476"/>
      <c r="X53" s="458" t="str">
        <f>IF(T53="","",IFERROR(T53*INDEX(Assumptions!$D$6:$D$17,MATCH('Input-EWEMs'!T$11,Assumptions!$C$6:$C$17,0))/1000,""))</f>
        <v/>
      </c>
      <c r="Y53" s="459" t="str">
        <f>IF(U53="","",IFERROR(U53*INDEX(Assumptions!$D$6:$D$17,MATCH('Input-EWEMs'!U$11,Assumptions!$C$6:$C$17,0))/1000,""))</f>
        <v/>
      </c>
      <c r="Z53" s="460" t="str">
        <f>IF(V53="","",IFERROR(V53*INDEX(Assumptions!$D$6:$D$17,MATCH('Input-EWEMs'!V$11,Assumptions!$C$6:$C$17,0))/1000,""))</f>
        <v/>
      </c>
      <c r="AA53" s="458" t="str">
        <f>IF(X53="","",IFERROR(X53*INDEX(Assumptions!$E$6:$E$17,MATCH('Input-EWEMs'!AA$10,Assumptions!$B$6:$B$17,0)),""))</f>
        <v/>
      </c>
      <c r="AB53" s="459" t="str">
        <f>IF(Y53="","",IFERROR(Y53*INDEX(Assumptions!$E$6:$E$17,MATCH('Input-EWEMs'!AB$10,Assumptions!$B$6:$B$17,0)),""))</f>
        <v/>
      </c>
      <c r="AC53" s="460" t="str">
        <f>IF(Z53="","",IFERROR(Z53*INDEX(Assumptions!$E$6:$E$17,MATCH('Input-EWEMs'!AC$10,Assumptions!$B$6:$B$17,0)),""))</f>
        <v/>
      </c>
      <c r="AD53" s="461">
        <f>SUM(X53:Z53)</f>
        <v>0</v>
      </c>
      <c r="AE53" s="459">
        <f>SUM(AA53:AC53)</f>
        <v>0</v>
      </c>
      <c r="AF53" s="520" t="str">
        <f>IF(W53="","",IFERROR(W53*INDEX(Assumptions!$D$20:$D$23,MATCH('Input-EWEMs'!W$11,Assumptions!$C$20:$C$23,0))/1000,""))</f>
        <v/>
      </c>
      <c r="AG53" s="521">
        <f>IFERROR(T53*INDEX(Assumptions!$H$6:$H$17,MATCH('Input-EWEMs'!T$11,Assumptions!$C$6:$C$17,0)),0)+IFERROR(U53*INDEX(Assumptions!$H$6:$H$17,MATCH('Input-EWEMs'!U$11,Assumptions!$C$6:$C$17,0)),0)+IFERROR(V53*INDEX(Assumptions!$H$6:$H$17,MATCH('Input-EWEMs'!V$11,Assumptions!$C$6:$C$17,0)),0)</f>
        <v>0</v>
      </c>
      <c r="AH53" s="464" t="str">
        <f>IFERROR(IF(D53="","",SUM(X53:Z53)/'Input-Utilities'!$N$14),"")</f>
        <v/>
      </c>
      <c r="AI53" s="714" t="str">
        <f>IFERROR(IF(D53="","",AG53/'Input-Utilities'!$L$16),"")</f>
        <v/>
      </c>
      <c r="AJ53" s="465" t="str">
        <f>IFERROR(IF(D53="","",W53/'Input-Utilities'!$J$13),"")</f>
        <v/>
      </c>
      <c r="AK53" s="466" t="str">
        <f>IFERROR(IF($D53="","",IF(INDEX('Reference-MeasureList EULs'!D:D, MATCH('Input-EWEMs'!E53,'Reference-MeasureList EULs'!C:C,0))=0,"",INDEX('Reference-MeasureList EULs'!D:D, MATCH('Input-EWEMs'!E53,'Reference-MeasureList EULs'!C:C,0)))),"")</f>
        <v/>
      </c>
    </row>
    <row r="54" spans="3:37" x14ac:dyDescent="0.2">
      <c r="C54" s="516"/>
      <c r="D54" s="517" t="str">
        <f>IFERROR(INDEX('Input-EWEMs'!D$12:D$41, MATCH($C54, 'Input-EWEMs'!$C$12:$C$41, 0)),"")</f>
        <v/>
      </c>
      <c r="E54" s="518" t="str">
        <f>IFERROR(INDEX('Input-EWEMs'!E$12:E$41, MATCH($C54, 'Input-EWEMs'!$C$12:$C$41, 0)),"")</f>
        <v/>
      </c>
      <c r="F54" s="469"/>
      <c r="G54" s="451"/>
      <c r="H54" s="472"/>
      <c r="I54" s="321"/>
      <c r="J54" s="453" t="str">
        <f>IFERROR(IF(I54=0,"",I54/'Input-Property'!$D$42),"")</f>
        <v/>
      </c>
      <c r="K54" s="603"/>
      <c r="L54" s="604"/>
      <c r="M54" s="608" t="str">
        <f t="shared" si="17"/>
        <v/>
      </c>
      <c r="N54" s="473"/>
      <c r="O54" s="473"/>
      <c r="P54" s="455" t="str">
        <f t="shared" si="15"/>
        <v/>
      </c>
      <c r="Q54" s="474"/>
      <c r="R54" s="473"/>
      <c r="S54" s="455" t="str">
        <f t="shared" si="16"/>
        <v/>
      </c>
      <c r="T54" s="475"/>
      <c r="U54" s="350"/>
      <c r="V54" s="350"/>
      <c r="W54" s="476"/>
      <c r="X54" s="458" t="str">
        <f>IF(T54="","",IFERROR(T54*INDEX(Assumptions!$D$6:$D$17,MATCH('Input-EWEMs'!T$11,Assumptions!$C$6:$C$17,0))/1000,""))</f>
        <v/>
      </c>
      <c r="Y54" s="459" t="str">
        <f>IF(U54="","",IFERROR(U54*INDEX(Assumptions!$D$6:$D$17,MATCH('Input-EWEMs'!U$11,Assumptions!$C$6:$C$17,0))/1000,""))</f>
        <v/>
      </c>
      <c r="Z54" s="460" t="str">
        <f>IF(V54="","",IFERROR(V54*INDEX(Assumptions!$D$6:$D$17,MATCH('Input-EWEMs'!V$11,Assumptions!$C$6:$C$17,0))/1000,""))</f>
        <v/>
      </c>
      <c r="AA54" s="458" t="str">
        <f>IF(X54="","",IFERROR(X54*INDEX(Assumptions!$E$6:$E$17,MATCH('Input-EWEMs'!AA$10,Assumptions!$B$6:$B$17,0)),""))</f>
        <v/>
      </c>
      <c r="AB54" s="459" t="str">
        <f>IF(Y54="","",IFERROR(Y54*INDEX(Assumptions!$E$6:$E$17,MATCH('Input-EWEMs'!AB$10,Assumptions!$B$6:$B$17,0)),""))</f>
        <v/>
      </c>
      <c r="AC54" s="460" t="str">
        <f>IF(Z54="","",IFERROR(Z54*INDEX(Assumptions!$E$6:$E$17,MATCH('Input-EWEMs'!AC$10,Assumptions!$B$6:$B$17,0)),""))</f>
        <v/>
      </c>
      <c r="AD54" s="461">
        <f t="shared" ref="AD54:AD61" si="18">SUM(X54:Z54)</f>
        <v>0</v>
      </c>
      <c r="AE54" s="459">
        <f t="shared" ref="AE54:AE61" si="19">SUM(AA54:AC54)</f>
        <v>0</v>
      </c>
      <c r="AF54" s="520" t="str">
        <f>IF(W54="","",IFERROR(W54*INDEX(Assumptions!$D$20:$D$23,MATCH('Input-EWEMs'!W$11,Assumptions!$C$20:$C$23,0))/1000,""))</f>
        <v/>
      </c>
      <c r="AG54" s="521">
        <f>IFERROR(T54*INDEX(Assumptions!$H$6:$H$17,MATCH('Input-EWEMs'!T$11,Assumptions!$C$6:$C$17,0)),0)+IFERROR(U54*INDEX(Assumptions!$H$6:$H$17,MATCH('Input-EWEMs'!U$11,Assumptions!$C$6:$C$17,0)),0)+IFERROR(V54*INDEX(Assumptions!$H$6:$H$17,MATCH('Input-EWEMs'!V$11,Assumptions!$C$6:$C$17,0)),0)</f>
        <v>0</v>
      </c>
      <c r="AH54" s="464" t="str">
        <f>IFERROR(IF(D54="","",SUM(X54:Z54)/'Input-Utilities'!$N$14),"")</f>
        <v/>
      </c>
      <c r="AI54" s="714" t="str">
        <f>IFERROR(IF(D54="","",AG54/'Input-Utilities'!$L$16),"")</f>
        <v/>
      </c>
      <c r="AJ54" s="465" t="str">
        <f>IFERROR(IF(D54="","",W54/'Input-Utilities'!$J$13),"")</f>
        <v/>
      </c>
      <c r="AK54" s="466" t="str">
        <f>IFERROR(IF($D54="","",IF(INDEX('Reference-MeasureList EULs'!D:D, MATCH('Input-EWEMs'!E54,'Reference-MeasureList EULs'!C:C,0))=0,"",INDEX('Reference-MeasureList EULs'!D:D, MATCH('Input-EWEMs'!E54,'Reference-MeasureList EULs'!C:C,0)))),"")</f>
        <v/>
      </c>
    </row>
    <row r="55" spans="3:37" x14ac:dyDescent="0.2">
      <c r="C55" s="516"/>
      <c r="D55" s="517" t="str">
        <f>IFERROR(INDEX('Input-EWEMs'!D$12:D$41, MATCH($C55, 'Input-EWEMs'!$C$12:$C$41, 0)),"")</f>
        <v/>
      </c>
      <c r="E55" s="518" t="str">
        <f>IFERROR(INDEX('Input-EWEMs'!E$12:E$41, MATCH($C55, 'Input-EWEMs'!$C$12:$C$41, 0)),"")</f>
        <v/>
      </c>
      <c r="F55" s="469"/>
      <c r="G55" s="451"/>
      <c r="H55" s="472"/>
      <c r="I55" s="321"/>
      <c r="J55" s="453" t="str">
        <f>IFERROR(IF(I55=0,"",I55/'Input-Property'!$D$42),"")</f>
        <v/>
      </c>
      <c r="K55" s="603"/>
      <c r="L55" s="604"/>
      <c r="M55" s="608" t="str">
        <f t="shared" ref="M55:M61" si="20">IF(D55="","",SUM(K55:L55))</f>
        <v/>
      </c>
      <c r="N55" s="473"/>
      <c r="O55" s="473"/>
      <c r="P55" s="455" t="str">
        <f t="shared" si="15"/>
        <v/>
      </c>
      <c r="Q55" s="474"/>
      <c r="R55" s="473"/>
      <c r="S55" s="455" t="str">
        <f t="shared" si="16"/>
        <v/>
      </c>
      <c r="T55" s="475"/>
      <c r="U55" s="350"/>
      <c r="V55" s="350"/>
      <c r="W55" s="476"/>
      <c r="X55" s="458" t="str">
        <f>IF(T55="","",IFERROR(T55*INDEX(Assumptions!$D$6:$D$17,MATCH('Input-EWEMs'!T$11,Assumptions!$C$6:$C$17,0))/1000,""))</f>
        <v/>
      </c>
      <c r="Y55" s="459" t="str">
        <f>IF(U55="","",IFERROR(U55*INDEX(Assumptions!$D$6:$D$17,MATCH('Input-EWEMs'!U$11,Assumptions!$C$6:$C$17,0))/1000,""))</f>
        <v/>
      </c>
      <c r="Z55" s="460" t="str">
        <f>IF(V55="","",IFERROR(V55*INDEX(Assumptions!$D$6:$D$17,MATCH('Input-EWEMs'!V$11,Assumptions!$C$6:$C$17,0))/1000,""))</f>
        <v/>
      </c>
      <c r="AA55" s="458" t="str">
        <f>IF(X55="","",IFERROR(X55*INDEX(Assumptions!$E$6:$E$17,MATCH('Input-EWEMs'!AA$10,Assumptions!$B$6:$B$17,0)),""))</f>
        <v/>
      </c>
      <c r="AB55" s="459" t="str">
        <f>IF(Y55="","",IFERROR(Y55*INDEX(Assumptions!$E$6:$E$17,MATCH('Input-EWEMs'!AB$10,Assumptions!$B$6:$B$17,0)),""))</f>
        <v/>
      </c>
      <c r="AC55" s="460" t="str">
        <f>IF(Z55="","",IFERROR(Z55*INDEX(Assumptions!$E$6:$E$17,MATCH('Input-EWEMs'!AC$10,Assumptions!$B$6:$B$17,0)),""))</f>
        <v/>
      </c>
      <c r="AD55" s="461">
        <f t="shared" si="18"/>
        <v>0</v>
      </c>
      <c r="AE55" s="459">
        <f t="shared" si="19"/>
        <v>0</v>
      </c>
      <c r="AF55" s="520" t="str">
        <f>IF(W55="","",IFERROR(W55*INDEX(Assumptions!$D$20:$D$23,MATCH('Input-EWEMs'!W$11,Assumptions!$C$20:$C$23,0))/1000,""))</f>
        <v/>
      </c>
      <c r="AG55" s="521">
        <f>IFERROR(T55*INDEX(Assumptions!$H$6:$H$17,MATCH('Input-EWEMs'!T$11,Assumptions!$C$6:$C$17,0)),0)+IFERROR(U55*INDEX(Assumptions!$H$6:$H$17,MATCH('Input-EWEMs'!U$11,Assumptions!$C$6:$C$17,0)),0)+IFERROR(V55*INDEX(Assumptions!$H$6:$H$17,MATCH('Input-EWEMs'!V$11,Assumptions!$C$6:$C$17,0)),0)</f>
        <v>0</v>
      </c>
      <c r="AH55" s="464" t="str">
        <f>IFERROR(IF(D55="","",SUM(X55:Z55)/'Input-Utilities'!$N$14),"")</f>
        <v/>
      </c>
      <c r="AI55" s="714" t="str">
        <f>IFERROR(IF(D55="","",AG55/'Input-Utilities'!$L$16),"")</f>
        <v/>
      </c>
      <c r="AJ55" s="465" t="str">
        <f>IFERROR(IF(D55="","",W55/'Input-Utilities'!$J$13),"")</f>
        <v/>
      </c>
      <c r="AK55" s="466" t="str">
        <f>IFERROR(IF($D55="","",IF(INDEX('Reference-MeasureList EULs'!D:D, MATCH('Input-EWEMs'!E55,'Reference-MeasureList EULs'!C:C,0))=0,"",INDEX('Reference-MeasureList EULs'!D:D, MATCH('Input-EWEMs'!E55,'Reference-MeasureList EULs'!C:C,0)))),"")</f>
        <v/>
      </c>
    </row>
    <row r="56" spans="3:37" x14ac:dyDescent="0.2">
      <c r="C56" s="516"/>
      <c r="D56" s="517" t="str">
        <f>IFERROR(INDEX('Input-EWEMs'!D$12:D$41, MATCH($C56, 'Input-EWEMs'!$C$12:$C$41, 0)),"")</f>
        <v/>
      </c>
      <c r="E56" s="518" t="str">
        <f>IFERROR(INDEX('Input-EWEMs'!E$12:E$41, MATCH($C56, 'Input-EWEMs'!$C$12:$C$41, 0)),"")</f>
        <v/>
      </c>
      <c r="F56" s="469"/>
      <c r="G56" s="451"/>
      <c r="H56" s="472"/>
      <c r="I56" s="321"/>
      <c r="J56" s="453" t="str">
        <f>IFERROR(IF(I56=0,"",I56/'Input-Property'!$D$42),"")</f>
        <v/>
      </c>
      <c r="K56" s="603"/>
      <c r="L56" s="604"/>
      <c r="M56" s="608" t="str">
        <f t="shared" si="20"/>
        <v/>
      </c>
      <c r="N56" s="473"/>
      <c r="O56" s="473"/>
      <c r="P56" s="455" t="str">
        <f t="shared" si="15"/>
        <v/>
      </c>
      <c r="Q56" s="474"/>
      <c r="R56" s="473"/>
      <c r="S56" s="455" t="str">
        <f t="shared" si="16"/>
        <v/>
      </c>
      <c r="T56" s="475"/>
      <c r="U56" s="350"/>
      <c r="V56" s="350"/>
      <c r="W56" s="476"/>
      <c r="X56" s="458" t="str">
        <f>IF(T56="","",IFERROR(T56*INDEX(Assumptions!$D$6:$D$17,MATCH('Input-EWEMs'!T$11,Assumptions!$C$6:$C$17,0))/1000,""))</f>
        <v/>
      </c>
      <c r="Y56" s="459" t="str">
        <f>IF(U56="","",IFERROR(U56*INDEX(Assumptions!$D$6:$D$17,MATCH('Input-EWEMs'!U$11,Assumptions!$C$6:$C$17,0))/1000,""))</f>
        <v/>
      </c>
      <c r="Z56" s="460" t="str">
        <f>IF(V56="","",IFERROR(V56*INDEX(Assumptions!$D$6:$D$17,MATCH('Input-EWEMs'!V$11,Assumptions!$C$6:$C$17,0))/1000,""))</f>
        <v/>
      </c>
      <c r="AA56" s="458" t="str">
        <f>IF(X56="","",IFERROR(X56*INDEX(Assumptions!$E$6:$E$17,MATCH('Input-EWEMs'!AA$10,Assumptions!$B$6:$B$17,0)),""))</f>
        <v/>
      </c>
      <c r="AB56" s="459" t="str">
        <f>IF(Y56="","",IFERROR(Y56*INDEX(Assumptions!$E$6:$E$17,MATCH('Input-EWEMs'!AB$10,Assumptions!$B$6:$B$17,0)),""))</f>
        <v/>
      </c>
      <c r="AC56" s="460" t="str">
        <f>IF(Z56="","",IFERROR(Z56*INDEX(Assumptions!$E$6:$E$17,MATCH('Input-EWEMs'!AC$10,Assumptions!$B$6:$B$17,0)),""))</f>
        <v/>
      </c>
      <c r="AD56" s="461">
        <f t="shared" si="18"/>
        <v>0</v>
      </c>
      <c r="AE56" s="459">
        <f t="shared" si="19"/>
        <v>0</v>
      </c>
      <c r="AF56" s="520" t="str">
        <f>IF(W56="","",IFERROR(W56*INDEX(Assumptions!$D$20:$D$23,MATCH('Input-EWEMs'!W$11,Assumptions!$C$20:$C$23,0))/1000,""))</f>
        <v/>
      </c>
      <c r="AG56" s="521">
        <f>IFERROR(T56*INDEX(Assumptions!$H$6:$H$17,MATCH('Input-EWEMs'!T$11,Assumptions!$C$6:$C$17,0)),0)+IFERROR(U56*INDEX(Assumptions!$H$6:$H$17,MATCH('Input-EWEMs'!U$11,Assumptions!$C$6:$C$17,0)),0)+IFERROR(V56*INDEX(Assumptions!$H$6:$H$17,MATCH('Input-EWEMs'!V$11,Assumptions!$C$6:$C$17,0)),0)</f>
        <v>0</v>
      </c>
      <c r="AH56" s="464" t="str">
        <f>IFERROR(IF(D56="","",SUM(X56:Z56)/'Input-Utilities'!$N$14),"")</f>
        <v/>
      </c>
      <c r="AI56" s="714" t="str">
        <f>IFERROR(IF(D56="","",AG56/'Input-Utilities'!$L$16),"")</f>
        <v/>
      </c>
      <c r="AJ56" s="465" t="str">
        <f>IFERROR(IF(D56="","",W56/'Input-Utilities'!$J$13),"")</f>
        <v/>
      </c>
      <c r="AK56" s="466" t="str">
        <f>IFERROR(IF($D56="","",IF(INDEX('Reference-MeasureList EULs'!D:D, MATCH('Input-EWEMs'!E56,'Reference-MeasureList EULs'!C:C,0))=0,"",INDEX('Reference-MeasureList EULs'!D:D, MATCH('Input-EWEMs'!E56,'Reference-MeasureList EULs'!C:C,0)))),"")</f>
        <v/>
      </c>
    </row>
    <row r="57" spans="3:37" x14ac:dyDescent="0.2">
      <c r="C57" s="516"/>
      <c r="D57" s="517" t="str">
        <f>IFERROR(INDEX('Input-EWEMs'!D$12:D$41, MATCH($C57, 'Input-EWEMs'!$C$12:$C$41, 0)),"")</f>
        <v/>
      </c>
      <c r="E57" s="518" t="str">
        <f>IFERROR(INDEX('Input-EWEMs'!E$12:E$41, MATCH($C57, 'Input-EWEMs'!$C$12:$C$41, 0)),"")</f>
        <v/>
      </c>
      <c r="F57" s="469"/>
      <c r="G57" s="451"/>
      <c r="H57" s="472"/>
      <c r="I57" s="321"/>
      <c r="J57" s="453" t="str">
        <f>IFERROR(IF(I57=0,"",I57/'Input-Property'!$D$42),"")</f>
        <v/>
      </c>
      <c r="K57" s="603"/>
      <c r="L57" s="604"/>
      <c r="M57" s="608" t="str">
        <f t="shared" si="20"/>
        <v/>
      </c>
      <c r="N57" s="473"/>
      <c r="O57" s="473"/>
      <c r="P57" s="455" t="str">
        <f t="shared" si="15"/>
        <v/>
      </c>
      <c r="Q57" s="474"/>
      <c r="R57" s="473"/>
      <c r="S57" s="455" t="str">
        <f t="shared" si="16"/>
        <v/>
      </c>
      <c r="T57" s="475"/>
      <c r="U57" s="350"/>
      <c r="V57" s="350"/>
      <c r="W57" s="476"/>
      <c r="X57" s="458" t="str">
        <f>IF(T57="","",IFERROR(T57*INDEX(Assumptions!$D$6:$D$17,MATCH('Input-EWEMs'!T$11,Assumptions!$C$6:$C$17,0))/1000,""))</f>
        <v/>
      </c>
      <c r="Y57" s="459" t="str">
        <f>IF(U57="","",IFERROR(U57*INDEX(Assumptions!$D$6:$D$17,MATCH('Input-EWEMs'!U$11,Assumptions!$C$6:$C$17,0))/1000,""))</f>
        <v/>
      </c>
      <c r="Z57" s="460" t="str">
        <f>IF(V57="","",IFERROR(V57*INDEX(Assumptions!$D$6:$D$17,MATCH('Input-EWEMs'!V$11,Assumptions!$C$6:$C$17,0))/1000,""))</f>
        <v/>
      </c>
      <c r="AA57" s="458" t="str">
        <f>IF(X57="","",IFERROR(X57*INDEX(Assumptions!$E$6:$E$17,MATCH('Input-EWEMs'!AA$10,Assumptions!$B$6:$B$17,0)),""))</f>
        <v/>
      </c>
      <c r="AB57" s="459" t="str">
        <f>IF(Y57="","",IFERROR(Y57*INDEX(Assumptions!$E$6:$E$17,MATCH('Input-EWEMs'!AB$10,Assumptions!$B$6:$B$17,0)),""))</f>
        <v/>
      </c>
      <c r="AC57" s="460" t="str">
        <f>IF(Z57="","",IFERROR(Z57*INDEX(Assumptions!$E$6:$E$17,MATCH('Input-EWEMs'!AC$10,Assumptions!$B$6:$B$17,0)),""))</f>
        <v/>
      </c>
      <c r="AD57" s="461">
        <f t="shared" si="18"/>
        <v>0</v>
      </c>
      <c r="AE57" s="459">
        <f t="shared" si="19"/>
        <v>0</v>
      </c>
      <c r="AF57" s="520" t="str">
        <f>IF(W57="","",IFERROR(W57*INDEX(Assumptions!$D$20:$D$23,MATCH('Input-EWEMs'!W$11,Assumptions!$C$20:$C$23,0))/1000,""))</f>
        <v/>
      </c>
      <c r="AG57" s="521">
        <f>IFERROR(T57*INDEX(Assumptions!$H$6:$H$17,MATCH('Input-EWEMs'!T$11,Assumptions!$C$6:$C$17,0)),0)+IFERROR(U57*INDEX(Assumptions!$H$6:$H$17,MATCH('Input-EWEMs'!U$11,Assumptions!$C$6:$C$17,0)),0)+IFERROR(V57*INDEX(Assumptions!$H$6:$H$17,MATCH('Input-EWEMs'!V$11,Assumptions!$C$6:$C$17,0)),0)</f>
        <v>0</v>
      </c>
      <c r="AH57" s="464" t="str">
        <f>IFERROR(IF(D57="","",SUM(X57:Z57)/'Input-Utilities'!$N$14),"")</f>
        <v/>
      </c>
      <c r="AI57" s="714" t="str">
        <f>IFERROR(IF(D57="","",AG57/'Input-Utilities'!$L$16),"")</f>
        <v/>
      </c>
      <c r="AJ57" s="465" t="str">
        <f>IFERROR(IF(D57="","",W57/'Input-Utilities'!$J$13),"")</f>
        <v/>
      </c>
      <c r="AK57" s="466" t="str">
        <f>IFERROR(IF($D57="","",IF(INDEX('Reference-MeasureList EULs'!D:D, MATCH('Input-EWEMs'!E57,'Reference-MeasureList EULs'!C:C,0))=0,"",INDEX('Reference-MeasureList EULs'!D:D, MATCH('Input-EWEMs'!E57,'Reference-MeasureList EULs'!C:C,0)))),"")</f>
        <v/>
      </c>
    </row>
    <row r="58" spans="3:37" x14ac:dyDescent="0.2">
      <c r="C58" s="516"/>
      <c r="D58" s="517" t="str">
        <f>IFERROR(INDEX('Input-EWEMs'!D$12:D$41, MATCH($C58, 'Input-EWEMs'!$C$12:$C$41, 0)),"")</f>
        <v/>
      </c>
      <c r="E58" s="518" t="str">
        <f>IFERROR(INDEX('Input-EWEMs'!E$12:E$41, MATCH($C58, 'Input-EWEMs'!$C$12:$C$41, 0)),"")</f>
        <v/>
      </c>
      <c r="F58" s="469"/>
      <c r="G58" s="451"/>
      <c r="H58" s="472"/>
      <c r="I58" s="321"/>
      <c r="J58" s="453" t="str">
        <f>IFERROR(IF(I58=0,"",I58/'Input-Property'!$D$42),"")</f>
        <v/>
      </c>
      <c r="K58" s="603"/>
      <c r="L58" s="604"/>
      <c r="M58" s="608" t="str">
        <f t="shared" si="20"/>
        <v/>
      </c>
      <c r="N58" s="473"/>
      <c r="O58" s="473"/>
      <c r="P58" s="455" t="str">
        <f t="shared" si="15"/>
        <v/>
      </c>
      <c r="Q58" s="474"/>
      <c r="R58" s="473"/>
      <c r="S58" s="455" t="str">
        <f t="shared" si="16"/>
        <v/>
      </c>
      <c r="T58" s="475"/>
      <c r="U58" s="350"/>
      <c r="V58" s="350"/>
      <c r="W58" s="476"/>
      <c r="X58" s="458" t="str">
        <f>IF(T58="","",IFERROR(T58*INDEX(Assumptions!$D$6:$D$17,MATCH('Input-EWEMs'!T$11,Assumptions!$C$6:$C$17,0))/1000,""))</f>
        <v/>
      </c>
      <c r="Y58" s="459" t="str">
        <f>IF(U58="","",IFERROR(U58*INDEX(Assumptions!$D$6:$D$17,MATCH('Input-EWEMs'!U$11,Assumptions!$C$6:$C$17,0))/1000,""))</f>
        <v/>
      </c>
      <c r="Z58" s="460" t="str">
        <f>IF(V58="","",IFERROR(V58*INDEX(Assumptions!$D$6:$D$17,MATCH('Input-EWEMs'!V$11,Assumptions!$C$6:$C$17,0))/1000,""))</f>
        <v/>
      </c>
      <c r="AA58" s="458" t="str">
        <f>IF(X58="","",IFERROR(X58*INDEX(Assumptions!$E$6:$E$17,MATCH('Input-EWEMs'!AA$10,Assumptions!$B$6:$B$17,0)),""))</f>
        <v/>
      </c>
      <c r="AB58" s="459" t="str">
        <f>IF(Y58="","",IFERROR(Y58*INDEX(Assumptions!$E$6:$E$17,MATCH('Input-EWEMs'!AB$10,Assumptions!$B$6:$B$17,0)),""))</f>
        <v/>
      </c>
      <c r="AC58" s="460" t="str">
        <f>IF(Z58="","",IFERROR(Z58*INDEX(Assumptions!$E$6:$E$17,MATCH('Input-EWEMs'!AC$10,Assumptions!$B$6:$B$17,0)),""))</f>
        <v/>
      </c>
      <c r="AD58" s="461">
        <f t="shared" si="18"/>
        <v>0</v>
      </c>
      <c r="AE58" s="459">
        <f t="shared" si="19"/>
        <v>0</v>
      </c>
      <c r="AF58" s="520" t="str">
        <f>IF(W58="","",IFERROR(W58*INDEX(Assumptions!$D$20:$D$23,MATCH('Input-EWEMs'!W$11,Assumptions!$C$20:$C$23,0))/1000,""))</f>
        <v/>
      </c>
      <c r="AG58" s="521">
        <f>IFERROR(T58*INDEX(Assumptions!$H$6:$H$17,MATCH('Input-EWEMs'!T$11,Assumptions!$C$6:$C$17,0)),0)+IFERROR(U58*INDEX(Assumptions!$H$6:$H$17,MATCH('Input-EWEMs'!U$11,Assumptions!$C$6:$C$17,0)),0)+IFERROR(V58*INDEX(Assumptions!$H$6:$H$17,MATCH('Input-EWEMs'!V$11,Assumptions!$C$6:$C$17,0)),0)</f>
        <v>0</v>
      </c>
      <c r="AH58" s="464" t="str">
        <f>IFERROR(IF(D58="","",SUM(X58:Z58)/'Input-Utilities'!$N$14),"")</f>
        <v/>
      </c>
      <c r="AI58" s="714" t="str">
        <f>IFERROR(IF(D58="","",AG58/'Input-Utilities'!$L$16),"")</f>
        <v/>
      </c>
      <c r="AJ58" s="465" t="str">
        <f>IFERROR(IF(D58="","",W58/'Input-Utilities'!$J$13),"")</f>
        <v/>
      </c>
      <c r="AK58" s="466" t="str">
        <f>IFERROR(IF($D58="","",IF(INDEX('Reference-MeasureList EULs'!D:D, MATCH('Input-EWEMs'!E58,'Reference-MeasureList EULs'!C:C,0))=0,"",INDEX('Reference-MeasureList EULs'!D:D, MATCH('Input-EWEMs'!E58,'Reference-MeasureList EULs'!C:C,0)))),"")</f>
        <v/>
      </c>
    </row>
    <row r="59" spans="3:37" x14ac:dyDescent="0.2">
      <c r="C59" s="516"/>
      <c r="D59" s="517" t="str">
        <f>IFERROR(INDEX('Input-EWEMs'!D$12:D$41, MATCH($C59, 'Input-EWEMs'!$C$12:$C$41, 0)),"")</f>
        <v/>
      </c>
      <c r="E59" s="518" t="str">
        <f>IFERROR(INDEX('Input-EWEMs'!E$12:E$41, MATCH($C59, 'Input-EWEMs'!$C$12:$C$41, 0)),"")</f>
        <v/>
      </c>
      <c r="F59" s="469"/>
      <c r="G59" s="451"/>
      <c r="H59" s="472"/>
      <c r="I59" s="321"/>
      <c r="J59" s="453" t="str">
        <f>IFERROR(IF(I59=0,"",I59/'Input-Property'!$D$42),"")</f>
        <v/>
      </c>
      <c r="K59" s="603"/>
      <c r="L59" s="604"/>
      <c r="M59" s="608" t="str">
        <f t="shared" si="20"/>
        <v/>
      </c>
      <c r="N59" s="473"/>
      <c r="O59" s="473"/>
      <c r="P59" s="455" t="str">
        <f t="shared" si="15"/>
        <v/>
      </c>
      <c r="Q59" s="474"/>
      <c r="R59" s="473"/>
      <c r="S59" s="455" t="str">
        <f t="shared" si="16"/>
        <v/>
      </c>
      <c r="T59" s="475"/>
      <c r="U59" s="350"/>
      <c r="V59" s="350"/>
      <c r="W59" s="476"/>
      <c r="X59" s="458" t="str">
        <f>IF(T59="","",IFERROR(T59*INDEX(Assumptions!$D$6:$D$17,MATCH('Input-EWEMs'!T$11,Assumptions!$C$6:$C$17,0))/1000,""))</f>
        <v/>
      </c>
      <c r="Y59" s="459" t="str">
        <f>IF(U59="","",IFERROR(U59*INDEX(Assumptions!$D$6:$D$17,MATCH('Input-EWEMs'!U$11,Assumptions!$C$6:$C$17,0))/1000,""))</f>
        <v/>
      </c>
      <c r="Z59" s="460" t="str">
        <f>IF(V59="","",IFERROR(V59*INDEX(Assumptions!$D$6:$D$17,MATCH('Input-EWEMs'!V$11,Assumptions!$C$6:$C$17,0))/1000,""))</f>
        <v/>
      </c>
      <c r="AA59" s="458" t="str">
        <f>IF(X59="","",IFERROR(X59*INDEX(Assumptions!$E$6:$E$17,MATCH('Input-EWEMs'!AA$10,Assumptions!$B$6:$B$17,0)),""))</f>
        <v/>
      </c>
      <c r="AB59" s="459" t="str">
        <f>IF(Y59="","",IFERROR(Y59*INDEX(Assumptions!$E$6:$E$17,MATCH('Input-EWEMs'!AB$10,Assumptions!$B$6:$B$17,0)),""))</f>
        <v/>
      </c>
      <c r="AC59" s="460" t="str">
        <f>IF(Z59="","",IFERROR(Z59*INDEX(Assumptions!$E$6:$E$17,MATCH('Input-EWEMs'!AC$10,Assumptions!$B$6:$B$17,0)),""))</f>
        <v/>
      </c>
      <c r="AD59" s="461">
        <f t="shared" si="18"/>
        <v>0</v>
      </c>
      <c r="AE59" s="459">
        <f t="shared" si="19"/>
        <v>0</v>
      </c>
      <c r="AF59" s="520" t="str">
        <f>IF(W59="","",IFERROR(W59*INDEX(Assumptions!$D$20:$D$23,MATCH('Input-EWEMs'!W$11,Assumptions!$C$20:$C$23,0))/1000,""))</f>
        <v/>
      </c>
      <c r="AG59" s="521">
        <f>IFERROR(T59*INDEX(Assumptions!$H$6:$H$17,MATCH('Input-EWEMs'!T$11,Assumptions!$C$6:$C$17,0)),0)+IFERROR(U59*INDEX(Assumptions!$H$6:$H$17,MATCH('Input-EWEMs'!U$11,Assumptions!$C$6:$C$17,0)),0)+IFERROR(V59*INDEX(Assumptions!$H$6:$H$17,MATCH('Input-EWEMs'!V$11,Assumptions!$C$6:$C$17,0)),0)</f>
        <v>0</v>
      </c>
      <c r="AH59" s="464" t="str">
        <f>IFERROR(IF(D59="","",SUM(X59:Z59)/'Input-Utilities'!$N$14),"")</f>
        <v/>
      </c>
      <c r="AI59" s="714" t="str">
        <f>IFERROR(IF(D59="","",AG59/'Input-Utilities'!$L$16),"")</f>
        <v/>
      </c>
      <c r="AJ59" s="465" t="str">
        <f>IFERROR(IF(D59="","",W59/'Input-Utilities'!$J$13),"")</f>
        <v/>
      </c>
      <c r="AK59" s="466" t="str">
        <f>IFERROR(IF($D59="","",IF(INDEX('Reference-MeasureList EULs'!D:D, MATCH('Input-EWEMs'!E59,'Reference-MeasureList EULs'!C:C,0))=0,"",INDEX('Reference-MeasureList EULs'!D:D, MATCH('Input-EWEMs'!E59,'Reference-MeasureList EULs'!C:C,0)))),"")</f>
        <v/>
      </c>
    </row>
    <row r="60" spans="3:37" x14ac:dyDescent="0.2">
      <c r="C60" s="516"/>
      <c r="D60" s="517" t="str">
        <f>IFERROR(INDEX('Input-EWEMs'!D$12:D$41, MATCH($C60, 'Input-EWEMs'!$C$12:$C$41, 0)),"")</f>
        <v/>
      </c>
      <c r="E60" s="518" t="str">
        <f>IFERROR(INDEX('Input-EWEMs'!E$12:E$41, MATCH($C60, 'Input-EWEMs'!$C$12:$C$41, 0)),"")</f>
        <v/>
      </c>
      <c r="F60" s="469"/>
      <c r="G60" s="451"/>
      <c r="H60" s="472"/>
      <c r="I60" s="321"/>
      <c r="J60" s="453" t="str">
        <f>IFERROR(IF(I60=0,"",I60/'Input-Property'!$D$42),"")</f>
        <v/>
      </c>
      <c r="K60" s="603"/>
      <c r="L60" s="604"/>
      <c r="M60" s="608" t="str">
        <f t="shared" si="20"/>
        <v/>
      </c>
      <c r="N60" s="473"/>
      <c r="O60" s="473"/>
      <c r="P60" s="455" t="str">
        <f t="shared" si="15"/>
        <v/>
      </c>
      <c r="Q60" s="474"/>
      <c r="R60" s="473"/>
      <c r="S60" s="455" t="str">
        <f t="shared" si="16"/>
        <v/>
      </c>
      <c r="T60" s="475"/>
      <c r="U60" s="350"/>
      <c r="V60" s="350"/>
      <c r="W60" s="476"/>
      <c r="X60" s="458" t="str">
        <f>IF(T60="","",IFERROR(T60*INDEX(Assumptions!$D$6:$D$17,MATCH('Input-EWEMs'!T$11,Assumptions!$C$6:$C$17,0))/1000,""))</f>
        <v/>
      </c>
      <c r="Y60" s="459" t="str">
        <f>IF(U60="","",IFERROR(U60*INDEX(Assumptions!$D$6:$D$17,MATCH('Input-EWEMs'!U$11,Assumptions!$C$6:$C$17,0))/1000,""))</f>
        <v/>
      </c>
      <c r="Z60" s="460" t="str">
        <f>IF(V60="","",IFERROR(V60*INDEX(Assumptions!$D$6:$D$17,MATCH('Input-EWEMs'!V$11,Assumptions!$C$6:$C$17,0))/1000,""))</f>
        <v/>
      </c>
      <c r="AA60" s="458" t="str">
        <f>IF(X60="","",IFERROR(X60*INDEX(Assumptions!$E$6:$E$17,MATCH('Input-EWEMs'!AA$10,Assumptions!$B$6:$B$17,0)),""))</f>
        <v/>
      </c>
      <c r="AB60" s="459" t="str">
        <f>IF(Y60="","",IFERROR(Y60*INDEX(Assumptions!$E$6:$E$17,MATCH('Input-EWEMs'!AB$10,Assumptions!$B$6:$B$17,0)),""))</f>
        <v/>
      </c>
      <c r="AC60" s="460" t="str">
        <f>IF(Z60="","",IFERROR(Z60*INDEX(Assumptions!$E$6:$E$17,MATCH('Input-EWEMs'!AC$10,Assumptions!$B$6:$B$17,0)),""))</f>
        <v/>
      </c>
      <c r="AD60" s="461">
        <f t="shared" si="18"/>
        <v>0</v>
      </c>
      <c r="AE60" s="459">
        <f t="shared" si="19"/>
        <v>0</v>
      </c>
      <c r="AF60" s="520" t="str">
        <f>IF(W60="","",IFERROR(W60*INDEX(Assumptions!$D$20:$D$23,MATCH('Input-EWEMs'!W$11,Assumptions!$C$20:$C$23,0))/1000,""))</f>
        <v/>
      </c>
      <c r="AG60" s="521">
        <f>IFERROR(T60*INDEX(Assumptions!$H$6:$H$17,MATCH('Input-EWEMs'!T$11,Assumptions!$C$6:$C$17,0)),0)+IFERROR(U60*INDEX(Assumptions!$H$6:$H$17,MATCH('Input-EWEMs'!U$11,Assumptions!$C$6:$C$17,0)),0)+IFERROR(V60*INDEX(Assumptions!$H$6:$H$17,MATCH('Input-EWEMs'!V$11,Assumptions!$C$6:$C$17,0)),0)</f>
        <v>0</v>
      </c>
      <c r="AH60" s="464" t="str">
        <f>IFERROR(IF(D60="","",SUM(X60:Z60)/'Input-Utilities'!$N$14),"")</f>
        <v/>
      </c>
      <c r="AI60" s="714" t="str">
        <f>IFERROR(IF(D60="","",AG60/'Input-Utilities'!$L$16),"")</f>
        <v/>
      </c>
      <c r="AJ60" s="465" t="str">
        <f>IFERROR(IF(D60="","",W60/'Input-Utilities'!$J$13),"")</f>
        <v/>
      </c>
      <c r="AK60" s="466" t="str">
        <f>IFERROR(IF($D60="","",IF(INDEX('Reference-MeasureList EULs'!D:D, MATCH('Input-EWEMs'!E60,'Reference-MeasureList EULs'!C:C,0))=0,"",INDEX('Reference-MeasureList EULs'!D:D, MATCH('Input-EWEMs'!E60,'Reference-MeasureList EULs'!C:C,0)))),"")</f>
        <v/>
      </c>
    </row>
    <row r="61" spans="3:37" x14ac:dyDescent="0.2">
      <c r="C61" s="522"/>
      <c r="D61" s="517" t="str">
        <f>IFERROR(INDEX('Input-EWEMs'!D$12:D$41, MATCH($C61, 'Input-EWEMs'!$C$12:$C$41, 0)),"")</f>
        <v/>
      </c>
      <c r="E61" s="518" t="str">
        <f>IFERROR(INDEX('Input-EWEMs'!E$12:E$41, MATCH($C61, 'Input-EWEMs'!$C$12:$C$41, 0)),"")</f>
        <v/>
      </c>
      <c r="F61" s="479"/>
      <c r="G61" s="481"/>
      <c r="H61" s="482"/>
      <c r="I61" s="483"/>
      <c r="J61" s="523" t="str">
        <f>IFERROR(IF(I61=0,"",I61/'Input-Property'!$D$42),"")</f>
        <v/>
      </c>
      <c r="K61" s="603"/>
      <c r="L61" s="604"/>
      <c r="M61" s="608" t="str">
        <f t="shared" si="20"/>
        <v/>
      </c>
      <c r="N61" s="485"/>
      <c r="O61" s="485"/>
      <c r="P61" s="455" t="str">
        <f t="shared" si="15"/>
        <v/>
      </c>
      <c r="Q61" s="487"/>
      <c r="R61" s="485"/>
      <c r="S61" s="455" t="str">
        <f t="shared" si="16"/>
        <v/>
      </c>
      <c r="T61" s="488"/>
      <c r="U61" s="489"/>
      <c r="V61" s="489"/>
      <c r="W61" s="490"/>
      <c r="X61" s="458" t="str">
        <f>IF(T61="","",IFERROR(T61*INDEX(Assumptions!$D$6:$D$17,MATCH('Input-EWEMs'!T$11,Assumptions!$C$6:$C$17,0))/1000,""))</f>
        <v/>
      </c>
      <c r="Y61" s="459" t="str">
        <f>IF(U61="","",IFERROR(U61*INDEX(Assumptions!$D$6:$D$17,MATCH('Input-EWEMs'!U$11,Assumptions!$C$6:$C$17,0))/1000,""))</f>
        <v/>
      </c>
      <c r="Z61" s="460" t="str">
        <f>IF(V61="","",IFERROR(V61*INDEX(Assumptions!$D$6:$D$17,MATCH('Input-EWEMs'!V$11,Assumptions!$C$6:$C$17,0))/1000,""))</f>
        <v/>
      </c>
      <c r="AA61" s="458" t="str">
        <f>IF(X61="","",IFERROR(X61*INDEX(Assumptions!$E$6:$E$17,MATCH('Input-EWEMs'!AA$10,Assumptions!$B$6:$B$17,0)),""))</f>
        <v/>
      </c>
      <c r="AB61" s="459" t="str">
        <f>IF(Y61="","",IFERROR(Y61*INDEX(Assumptions!$E$6:$E$17,MATCH('Input-EWEMs'!AB$10,Assumptions!$B$6:$B$17,0)),""))</f>
        <v/>
      </c>
      <c r="AC61" s="460" t="str">
        <f>IF(Z61="","",IFERROR(Z61*INDEX(Assumptions!$E$6:$E$17,MATCH('Input-EWEMs'!AC$10,Assumptions!$B$6:$B$17,0)),""))</f>
        <v/>
      </c>
      <c r="AD61" s="461">
        <f t="shared" si="18"/>
        <v>0</v>
      </c>
      <c r="AE61" s="459">
        <f t="shared" si="19"/>
        <v>0</v>
      </c>
      <c r="AF61" s="524" t="str">
        <f>IF(W61="","",IFERROR(W61*INDEX(Assumptions!$D$20:$D$23,MATCH('Input-EWEMs'!W$11,Assumptions!$C$20:$C$23,0))/1000,""))</f>
        <v/>
      </c>
      <c r="AG61" s="525">
        <f>IFERROR(T61*INDEX(Assumptions!$H$6:$H$17,MATCH('Input-EWEMs'!T$11,Assumptions!$C$6:$C$17,0)),0)+IFERROR(U61*INDEX(Assumptions!$H$6:$H$17,MATCH('Input-EWEMs'!U$11,Assumptions!$C$6:$C$17,0)),0)+IFERROR(V61*INDEX(Assumptions!$H$6:$H$17,MATCH('Input-EWEMs'!V$11,Assumptions!$C$6:$C$17,0)),0)</f>
        <v>0</v>
      </c>
      <c r="AH61" s="464" t="str">
        <f>IFERROR(IF(D61="","",SUM(X61:Z61)/'Input-Utilities'!$N$14),"")</f>
        <v/>
      </c>
      <c r="AI61" s="714" t="str">
        <f>IFERROR(IF(D61="","",AG61/'Input-Utilities'!$L$16),"")</f>
        <v/>
      </c>
      <c r="AJ61" s="526" t="str">
        <f>IFERROR(IF(D61="","",W61/'Input-Utilities'!$J$13),"")</f>
        <v/>
      </c>
      <c r="AK61" s="466" t="str">
        <f>IFERROR(IF($D61="","",IF(INDEX('Reference-MeasureList EULs'!D:D, MATCH('Input-EWEMs'!E61,'Reference-MeasureList EULs'!C:C,0))=0,"",INDEX('Reference-MeasureList EULs'!D:D, MATCH('Input-EWEMs'!E61,'Reference-MeasureList EULs'!C:C,0)))),"")</f>
        <v/>
      </c>
    </row>
    <row r="62" spans="3:37" x14ac:dyDescent="0.2">
      <c r="C62" s="434"/>
      <c r="D62" s="434"/>
      <c r="E62" s="434"/>
      <c r="F62" s="434"/>
      <c r="G62" s="434"/>
      <c r="H62" s="434"/>
      <c r="I62" s="434"/>
      <c r="J62" s="434"/>
      <c r="K62" s="434"/>
      <c r="L62" s="434"/>
      <c r="M62" s="434"/>
      <c r="N62" s="434"/>
      <c r="O62" s="434"/>
      <c r="P62" s="434"/>
      <c r="Q62" s="434"/>
      <c r="R62" s="434"/>
      <c r="S62" s="434"/>
      <c r="T62" s="434"/>
      <c r="U62" s="434"/>
      <c r="V62" s="434"/>
      <c r="W62" s="434"/>
      <c r="X62" s="434"/>
      <c r="Y62" s="434"/>
      <c r="Z62" s="434"/>
      <c r="AA62" s="434"/>
      <c r="AB62" s="434"/>
      <c r="AC62" s="434"/>
      <c r="AD62" s="434"/>
      <c r="AE62" s="434"/>
      <c r="AF62" s="434"/>
      <c r="AG62" s="434"/>
      <c r="AH62" s="434"/>
      <c r="AI62" s="434"/>
      <c r="AJ62" s="434"/>
      <c r="AK62" s="434"/>
    </row>
  </sheetData>
  <sheetProtection algorithmName="SHA-512" hashValue="7pXr8htsc9YRhsNnilZOcyOoB4fnFyOXqcR8SQ+d1mZoxyY2Z0bFJBuNV1AKFGdNdUcgs07NbvGEKytQlWCAtw==" saltValue="loYpZrKeYHMVSn//oKZ3Bw==" spinCount="100000" sheet="1" objects="1" scenarios="1"/>
  <mergeCells count="48">
    <mergeCell ref="AI9:AI10"/>
    <mergeCell ref="C9:C11"/>
    <mergeCell ref="AH49:AH50"/>
    <mergeCell ref="V49:V50"/>
    <mergeCell ref="W49:W50"/>
    <mergeCell ref="AA49:AC49"/>
    <mergeCell ref="G49:G51"/>
    <mergeCell ref="H49:H51"/>
    <mergeCell ref="I49:I51"/>
    <mergeCell ref="J49:J51"/>
    <mergeCell ref="T49:T50"/>
    <mergeCell ref="N49:P49"/>
    <mergeCell ref="K49:M49"/>
    <mergeCell ref="K48:S48"/>
    <mergeCell ref="X49:Z49"/>
    <mergeCell ref="AI49:AI50"/>
    <mergeCell ref="B6:U6"/>
    <mergeCell ref="U9:U10"/>
    <mergeCell ref="T9:T10"/>
    <mergeCell ref="G9:G11"/>
    <mergeCell ref="T8:AJ8"/>
    <mergeCell ref="I9:I11"/>
    <mergeCell ref="H9:H11"/>
    <mergeCell ref="F9:F11"/>
    <mergeCell ref="J9:J11"/>
    <mergeCell ref="AJ9:AJ10"/>
    <mergeCell ref="AH9:AH10"/>
    <mergeCell ref="W9:W10"/>
    <mergeCell ref="K8:S8"/>
    <mergeCell ref="K9:M9"/>
    <mergeCell ref="X9:Z9"/>
    <mergeCell ref="D9:D11"/>
    <mergeCell ref="AK9:AK10"/>
    <mergeCell ref="AK49:AK50"/>
    <mergeCell ref="AJ49:AJ50"/>
    <mergeCell ref="AA9:AC9"/>
    <mergeCell ref="E9:E11"/>
    <mergeCell ref="N9:P9"/>
    <mergeCell ref="Q9:S9"/>
    <mergeCell ref="U49:U50"/>
    <mergeCell ref="C46:V46"/>
    <mergeCell ref="V9:V10"/>
    <mergeCell ref="Q49:S49"/>
    <mergeCell ref="T48:AJ48"/>
    <mergeCell ref="C49:C51"/>
    <mergeCell ref="D49:D51"/>
    <mergeCell ref="E49:E51"/>
    <mergeCell ref="F49:F51"/>
  </mergeCells>
  <conditionalFormatting sqref="E12:G41 K12:O41 Q12:R42 T12:T42 W12:W42 N42:O42">
    <cfRule type="expression" dxfId="13" priority="14">
      <formula>AND($D12&lt;&gt;"", E12="")</formula>
    </cfRule>
  </conditionalFormatting>
  <conditionalFormatting sqref="F52:G61">
    <cfRule type="expression" dxfId="12" priority="7">
      <formula>AND($D52&lt;&gt;"", F52="")</formula>
    </cfRule>
  </conditionalFormatting>
  <conditionalFormatting sqref="I12:I41">
    <cfRule type="expression" dxfId="11" priority="12">
      <formula>AND(OR($G12="Apartments",$G12="Apts and comm area"), I12="")</formula>
    </cfRule>
  </conditionalFormatting>
  <conditionalFormatting sqref="I52:I61">
    <cfRule type="expression" dxfId="10" priority="9">
      <formula>AND(OR($G52="Apartments",$G52="Apts and comm area"), I52="")</formula>
    </cfRule>
  </conditionalFormatting>
  <conditionalFormatting sqref="K42:L42">
    <cfRule type="expression" dxfId="9" priority="1">
      <formula>AND($D42&lt;&gt;"", K42="")</formula>
    </cfRule>
  </conditionalFormatting>
  <conditionalFormatting sqref="K52:O61">
    <cfRule type="expression" dxfId="8" priority="2">
      <formula>AND($D52&lt;&gt;"", K52="")</formula>
    </cfRule>
  </conditionalFormatting>
  <conditionalFormatting sqref="Q52:R61 T52:T61 W52:W61">
    <cfRule type="expression" dxfId="7" priority="11">
      <formula>AND($D52&lt;&gt;"", Q52="")</formula>
    </cfRule>
  </conditionalFormatting>
  <conditionalFormatting sqref="U12:V42 U52:V61">
    <cfRule type="expression" dxfId="6" priority="13">
      <formula>AND($D12&lt;&gt;"", U12="",U$9&lt;&gt;"n/a" )</formula>
    </cfRule>
  </conditionalFormatting>
  <conditionalFormatting sqref="AK12:AK41 AK52:AK61">
    <cfRule type="expression" dxfId="5" priority="3">
      <formula>AND(D12&lt;&gt;"",AK12="")</formula>
    </cfRule>
  </conditionalFormatting>
  <dataValidations count="5">
    <dataValidation type="list" allowBlank="1" showInputMessage="1" showErrorMessage="1" sqref="D12:D41" xr:uid="{00000000-0002-0000-0900-000000000000}">
      <formula1>measure_cats</formula1>
    </dataValidation>
    <dataValidation type="list" allowBlank="1" showInputMessage="1" showErrorMessage="1" sqref="E12:E41" xr:uid="{00000000-0002-0000-0900-000001000000}">
      <formula1>measures</formula1>
    </dataValidation>
    <dataValidation type="whole" allowBlank="1" showInputMessage="1" showErrorMessage="1" error="Quantity must be a whole number." sqref="H52:H61 H12:H41" xr:uid="{00000000-0002-0000-0900-000002000000}">
      <formula1>0</formula1>
      <formula2>100000</formula2>
    </dataValidation>
    <dataValidation type="decimal" operator="greaterThan" allowBlank="1" showInputMessage="1" showErrorMessage="1" sqref="K12:O41 T52:W61 Q12:R41 Q52:R61 K52:O61 T12:W41" xr:uid="{00000000-0002-0000-0900-000003000000}">
      <formula1>-1000000</formula1>
    </dataValidation>
    <dataValidation type="decimal" operator="greaterThanOrEqual" allowBlank="1" showInputMessage="1" showErrorMessage="1" sqref="AK52:AK61 AK12:AK41" xr:uid="{00000000-0002-0000-0900-000004000000}">
      <formula1>0</formula1>
    </dataValidation>
  </dataValidations>
  <pageMargins left="0.7" right="0.7" top="0.75" bottom="0.75" header="0.3" footer="0.3"/>
  <pageSetup paperSize="5" scale="84" orientation="landscape" r:id="rId1"/>
  <headerFooter>
    <oddFooter>&amp;L&amp;"Source Sans Pro,Regular"&amp;8© 2023 Fannie Mae. Trademarks of Fannie Mae._x000D_&amp;1#&amp;"Calibri"&amp;10&amp;K000000 Fannie Mae Confidential&amp;C&amp;"Source Sans Pro,Regular"&amp;8Form 4099.H - October 2023&amp;R&amp;"Source Sans Pro,Regular"&amp;8Page &amp;P of &amp;N</oddFooter>
  </headerFooter>
  <rowBreaks count="1" manualBreakCount="1">
    <brk id="4" max="16383"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900-000005000000}">
          <x14:formula1>
            <xm:f>Dropdowns!$N$3:$N$5</xm:f>
          </x14:formula1>
          <xm:sqref>G52:G61 G12:G41</xm:sqref>
        </x14:dataValidation>
        <x14:dataValidation type="list" allowBlank="1" showInputMessage="1" showErrorMessage="1" xr:uid="{00000000-0002-0000-0900-000006000000}">
          <x14:formula1>
            <xm:f>Dropdowns!$M$3:$M$33</xm:f>
          </x14:formula1>
          <xm:sqref>C52:C61</xm:sqref>
        </x14:dataValidation>
        <x14:dataValidation type="whole" allowBlank="1" showInputMessage="1" showErrorMessage="1" error="Number of units must be a whole number and cannot be greater than the total number of units at the property." xr:uid="{00000000-0002-0000-0900-000007000000}">
          <x14:formula1>
            <xm:f>0</xm:f>
          </x14:formula1>
          <x14:formula2>
            <xm:f>'Input-Property'!$D$42</xm:f>
          </x14:formula2>
          <xm:sqref>I52:I61 I12:I41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1 6 " ? > < D a t a M a s h u p   x m l n s = " h t t p : / / s c h e m a s . m i c r o s o f t . c o m / D a t a M a s h u p " > A A A A A B Y D A A B Q S w M E F A A C A A g A d 4 t L S 3 S r d B q m A A A A + A A A A B I A H A B D b 2 5 m a W c v U G F j a 2 F n Z S 5 4 b W w g o h g A K K A U A A A A A A A A A A A A A A A A A A A A A A A A A A A A h Y + 9 D o I w G E V f h X S n P 8 C A 5 K M M r p K Y E I 1 r U y s 0 Q j G 0 W N 7 N w U f y F S R R 1 M 3 x n p z h 3 M f t D s X U t c F V D V b 3 J k c M U x Q o I / u j N n W O R n c K U 1 R w 2 A p 5 F r U K Z t n Y b L L H H D X O X T J C v P f Y x 7 g f a h J R y s i h 3 F S y U Z 1 A H 1 n / l 0 N t r B N G K s R h / 4 r h E U 5 W O E l j h u O U A V k w l N p 8 l W g u x h T I D 4 T 1 2 L p x U F y Z c F c B W S a Q 9 w v + B F B L A w Q U A A I A C A B 3 i 0 t L 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d 4 t L S y i K R 7 g O A A A A E Q A A A B M A H A B G b 3 J t d W x h c y 9 T Z W N 0 a W 9 u M S 5 t I K I Y A C i g F A A A A A A A A A A A A A A A A A A A A A A A A A A A A C t O T S 7 J z M 9 T C I b Q h t Y A U E s B A i 0 A F A A C A A g A d 4 t L S 3 S r d B q m A A A A + A A A A B I A A A A A A A A A A A A A A A A A A A A A A E N v b m Z p Z y 9 Q Y W N r Y W d l L n h t b F B L A Q I t A B Q A A g A I A H e L S 0 s P y u m r p A A A A O k A A A A T A A A A A A A A A A A A A A A A A P I A A A B b Q 2 9 u d G V u d F 9 U e X B l c 1 0 u e G 1 s U E s B A i 0 A F A A C A A g A d 4 t L S y 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O b n j / L 3 L L 9 P o R p 2 x b a s Y v Y A A A A A A g A A A A A A A 2 Y A A M A A A A A Q A A A A G E e D j V 4 u h T l z o L 2 3 Z p + U d g A A A A A E g A A A o A A A A B A A A A A 8 9 E J d a w C f U M x 0 y c H r K m 4 v U A A A A K O b b Q s 1 9 w F + V H u s Z f k v / K 6 q / V y J Z + h Z z P n c 2 r K c K J n X e / Q J 2 Z 4 K Y v d 3 A b H 2 5 M d B u n p c t 2 l u f D m 6 2 s C j E 5 5 7 f K i L 1 K f y o W v U 8 3 v Q x u i M 4 W 0 Z F A A A A K q l N t n j e L f A n Q r a t b S + V i J X 2 d E 8 < / 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Document" ma:contentTypeID="0x0101000D2C5C83BD8C844C99E0F99225638742" ma:contentTypeVersion="0" ma:contentTypeDescription="Create a new document." ma:contentTypeScope="" ma:versionID="439d7d12ba52a048a2b8340bf6a97d62">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215FA8B-A9E7-49AA-95F7-5A1680E24413}">
  <ds:schemaRefs>
    <ds:schemaRef ds:uri="http://schemas.microsoft.com/office/2006/metadata/longProperties"/>
  </ds:schemaRefs>
</ds:datastoreItem>
</file>

<file path=customXml/itemProps2.xml><?xml version="1.0" encoding="utf-8"?>
<ds:datastoreItem xmlns:ds="http://schemas.openxmlformats.org/officeDocument/2006/customXml" ds:itemID="{24E69A58-43E4-4E74-A4AC-98DC580593EE}">
  <ds:schemaRefs>
    <ds:schemaRef ds:uri="http://schemas.microsoft.com/DataMashup"/>
  </ds:schemaRefs>
</ds:datastoreItem>
</file>

<file path=customXml/itemProps3.xml><?xml version="1.0" encoding="utf-8"?>
<ds:datastoreItem xmlns:ds="http://schemas.openxmlformats.org/officeDocument/2006/customXml" ds:itemID="{9D5AF903-260D-4BD7-95A2-0310A6EF692E}">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9E66F9AE-280C-44F1-84BB-CCD1C0C7B409}">
  <ds:schemaRefs>
    <ds:schemaRef ds:uri="http://schemas.microsoft.com/sharepoint/v3/contenttype/forms"/>
  </ds:schemaRefs>
</ds:datastoreItem>
</file>

<file path=customXml/itemProps5.xml><?xml version="1.0" encoding="utf-8"?>
<ds:datastoreItem xmlns:ds="http://schemas.openxmlformats.org/officeDocument/2006/customXml" ds:itemID="{78384ECA-A52D-468A-90C5-5707EFFFDF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29</vt:i4>
      </vt:variant>
      <vt:variant>
        <vt:lpstr>Named Ranges</vt:lpstr>
      </vt:variant>
      <vt:variant>
        <vt:i4>24</vt:i4>
      </vt:variant>
    </vt:vector>
  </HeadingPairs>
  <TitlesOfParts>
    <vt:vector size="53" baseType="lpstr">
      <vt:lpstr>Instructions</vt:lpstr>
      <vt:lpstr>Lender Validation</vt:lpstr>
      <vt:lpstr>Check Errors</vt:lpstr>
      <vt:lpstr>QC Ranges</vt:lpstr>
      <vt:lpstr>EWEMQC</vt:lpstr>
      <vt:lpstr>Input-Property</vt:lpstr>
      <vt:lpstr>Input-Utilities</vt:lpstr>
      <vt:lpstr>Input-WaterCalc</vt:lpstr>
      <vt:lpstr>Input-EWEMs</vt:lpstr>
      <vt:lpstr>Input-Solar</vt:lpstr>
      <vt:lpstr>Input-Electrification</vt:lpstr>
      <vt:lpstr>DB-Loans</vt:lpstr>
      <vt:lpstr>DB-Properties</vt:lpstr>
      <vt:lpstr>DB-Utilities</vt:lpstr>
      <vt:lpstr>DB-InUnitUtilities</vt:lpstr>
      <vt:lpstr>DB-WaterCalc</vt:lpstr>
      <vt:lpstr>DB-EWEM</vt:lpstr>
      <vt:lpstr>DB-EWEMAdjusted</vt:lpstr>
      <vt:lpstr>DB-Solar</vt:lpstr>
      <vt:lpstr>DB-Electrification</vt:lpstr>
      <vt:lpstr>Report-Utilities</vt:lpstr>
      <vt:lpstr>Report-EWEMCostSavings</vt:lpstr>
      <vt:lpstr>Report-EWEMConsSavings</vt:lpstr>
      <vt:lpstr>Report-Electrification</vt:lpstr>
      <vt:lpstr>Assumptions</vt:lpstr>
      <vt:lpstr>Dropdowns</vt:lpstr>
      <vt:lpstr>MeasureList</vt:lpstr>
      <vt:lpstr>Reference-MeasureList</vt:lpstr>
      <vt:lpstr>Reference-MeasureList EULs</vt:lpstr>
      <vt:lpstr>'Check Errors'!measure_cats</vt:lpstr>
      <vt:lpstr>'DB-Electrification'!measure_cats</vt:lpstr>
      <vt:lpstr>'DB-EWEMAdjusted'!measure_cats</vt:lpstr>
      <vt:lpstr>'DB-InUnitUtilities'!measure_cats</vt:lpstr>
      <vt:lpstr>'DB-Loans'!measure_cats</vt:lpstr>
      <vt:lpstr>'DB-Properties'!measure_cats</vt:lpstr>
      <vt:lpstr>'DB-Solar'!measure_cats</vt:lpstr>
      <vt:lpstr>'DB-WaterCalc'!measure_cats</vt:lpstr>
      <vt:lpstr>'Input-Electrification'!measure_cats</vt:lpstr>
      <vt:lpstr>'Input-Property'!measure_cats</vt:lpstr>
      <vt:lpstr>'Input-Solar'!measure_cats</vt:lpstr>
      <vt:lpstr>'Input-Utilities'!measure_cats</vt:lpstr>
      <vt:lpstr>'Lender Validation'!measure_cats</vt:lpstr>
      <vt:lpstr>'Reference-MeasureList EULs'!measure_cats</vt:lpstr>
      <vt:lpstr>'Report-Electrification'!measure_cats</vt:lpstr>
      <vt:lpstr>'Report-EWEMConsSavings'!measure_cats</vt:lpstr>
      <vt:lpstr>'Report-EWEMCostSavings'!measure_cats</vt:lpstr>
      <vt:lpstr>measure_cats</vt:lpstr>
      <vt:lpstr>'Input-Electrification'!Print_Area</vt:lpstr>
      <vt:lpstr>'Input-EWEMs'!Print_Area</vt:lpstr>
      <vt:lpstr>'Input-Property'!Print_Area</vt:lpstr>
      <vt:lpstr>'Input-Solar'!Print_Area</vt:lpstr>
      <vt:lpstr>'Input-Utilities'!Print_Area</vt:lpstr>
      <vt:lpstr>'Report-Electrification'!Print_Area</vt:lpstr>
    </vt:vector>
  </TitlesOfParts>
  <Manager/>
  <Company>Organization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Fannie Mae</dc:creator>
  <cp:keywords/>
  <dc:description/>
  <cp:lastModifiedBy>Kelly Jiang</cp:lastModifiedBy>
  <cp:revision/>
  <dcterms:created xsi:type="dcterms:W3CDTF">2013-02-25T16:23:00Z</dcterms:created>
  <dcterms:modified xsi:type="dcterms:W3CDTF">2024-06-11T18:38:45Z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_NewReviewCycle">
    <vt:lpwstr/>
  </property>
  <property fmtid="{D5CDD505-2E9C-101B-9397-08002B2CF9AE}" pid="4" name="ContentTypeId">
    <vt:lpwstr>0x0101000D2C5C83BD8C844C99E0F99225638742</vt:lpwstr>
  </property>
  <property fmtid="{D5CDD505-2E9C-101B-9397-08002B2CF9AE}" pid="5" name="MSIP_Label_a9455cd2-ef3f-47ad-8dee-f10882ec60d9_Enabled">
    <vt:lpwstr>true</vt:lpwstr>
  </property>
  <property fmtid="{D5CDD505-2E9C-101B-9397-08002B2CF9AE}" pid="6" name="MSIP_Label_a9455cd2-ef3f-47ad-8dee-f10882ec60d9_SetDate">
    <vt:lpwstr>2023-08-18T14:12:36Z</vt:lpwstr>
  </property>
  <property fmtid="{D5CDD505-2E9C-101B-9397-08002B2CF9AE}" pid="7" name="MSIP_Label_a9455cd2-ef3f-47ad-8dee-f10882ec60d9_Method">
    <vt:lpwstr>Standard</vt:lpwstr>
  </property>
  <property fmtid="{D5CDD505-2E9C-101B-9397-08002B2CF9AE}" pid="8" name="MSIP_Label_a9455cd2-ef3f-47ad-8dee-f10882ec60d9_Name">
    <vt:lpwstr>Confidential - Internal Distribution</vt:lpwstr>
  </property>
  <property fmtid="{D5CDD505-2E9C-101B-9397-08002B2CF9AE}" pid="9" name="MSIP_Label_a9455cd2-ef3f-47ad-8dee-f10882ec60d9_SiteId">
    <vt:lpwstr>e6baca02-d986-4077-8053-30de7d5e0d58</vt:lpwstr>
  </property>
  <property fmtid="{D5CDD505-2E9C-101B-9397-08002B2CF9AE}" pid="10" name="MSIP_Label_a9455cd2-ef3f-47ad-8dee-f10882ec60d9_ActionId">
    <vt:lpwstr>163bbf36-35d0-4f44-aec4-088fd32a653c</vt:lpwstr>
  </property>
  <property fmtid="{D5CDD505-2E9C-101B-9397-08002B2CF9AE}" pid="11" name="MSIP_Label_a9455cd2-ef3f-47ad-8dee-f10882ec60d9_ContentBits">
    <vt:lpwstr>2</vt:lpwstr>
  </property>
</Properties>
</file>